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perez\Desktop\OAI\presupuesto 2025\Tania presupuesto Ejecución\"/>
    </mc:Choice>
  </mc:AlternateContent>
  <xr:revisionPtr revIDLastSave="0" documentId="13_ncr:1_{250E2861-9996-400D-A966-65D7A3B80140}" xr6:coauthVersionLast="47" xr6:coauthVersionMax="47" xr10:uidLastSave="{00000000-0000-0000-0000-000000000000}"/>
  <bookViews>
    <workbookView xWindow="-120" yWindow="-120" windowWidth="24240" windowHeight="13020" xr2:uid="{6E838BEA-C356-45FE-8D35-6145FA68B906}"/>
  </bookViews>
  <sheets>
    <sheet name="MATRIZ" sheetId="1" r:id="rId1"/>
    <sheet name="EJECUCION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8" i="1" l="1"/>
  <c r="J29" i="1"/>
  <c r="H29" i="1"/>
  <c r="E29" i="1"/>
  <c r="E21" i="1" s="1"/>
  <c r="D29" i="1"/>
  <c r="P29" i="1" s="1"/>
  <c r="P20" i="1"/>
  <c r="P19" i="1"/>
  <c r="P18" i="1"/>
  <c r="P17" i="1"/>
  <c r="P16" i="1"/>
  <c r="P30" i="1"/>
  <c r="P28" i="1"/>
  <c r="P27" i="1"/>
  <c r="P26" i="1"/>
  <c r="P25" i="1"/>
  <c r="P24" i="1"/>
  <c r="P23" i="1"/>
  <c r="P22" i="1"/>
  <c r="P40" i="1"/>
  <c r="P39" i="1"/>
  <c r="P38" i="1"/>
  <c r="P37" i="1"/>
  <c r="P36" i="1"/>
  <c r="P35" i="1"/>
  <c r="P34" i="1"/>
  <c r="P33" i="1"/>
  <c r="P32" i="1"/>
  <c r="P42" i="1"/>
  <c r="P48" i="1"/>
  <c r="P58" i="1"/>
  <c r="P59" i="1"/>
  <c r="P62" i="1"/>
  <c r="P91" i="1"/>
  <c r="P93" i="1"/>
  <c r="P96" i="1"/>
  <c r="P97" i="1"/>
  <c r="P98" i="1"/>
  <c r="P100" i="1"/>
  <c r="P101" i="1"/>
  <c r="P102" i="1"/>
  <c r="P103" i="1"/>
  <c r="P105" i="1"/>
  <c r="P107" i="1"/>
  <c r="P109" i="1"/>
  <c r="P50" i="1"/>
  <c r="M41" i="1"/>
  <c r="M106" i="1"/>
  <c r="M92" i="1"/>
  <c r="M89" i="1"/>
  <c r="L89" i="1"/>
  <c r="J15" i="1"/>
  <c r="M95" i="1"/>
  <c r="N15" i="1"/>
  <c r="N112" i="1" s="1"/>
  <c r="M15" i="1"/>
  <c r="L15" i="1"/>
  <c r="K15" i="1"/>
  <c r="I15" i="1"/>
  <c r="N14" i="1"/>
  <c r="N13" i="1" s="1"/>
  <c r="F15" i="1"/>
  <c r="E41" i="1"/>
  <c r="E15" i="1"/>
  <c r="D92" i="1"/>
  <c r="U297" i="2"/>
  <c r="U294" i="2"/>
  <c r="U287" i="2"/>
  <c r="L286" i="2"/>
  <c r="U286" i="2" s="1"/>
  <c r="U285" i="2"/>
  <c r="U284" i="2" s="1"/>
  <c r="T284" i="2"/>
  <c r="S284" i="2"/>
  <c r="R284" i="2"/>
  <c r="Q284" i="2"/>
  <c r="P284" i="2"/>
  <c r="O284" i="2"/>
  <c r="N284" i="2"/>
  <c r="M284" i="2"/>
  <c r="L284" i="2"/>
  <c r="K284" i="2"/>
  <c r="J284" i="2"/>
  <c r="I284" i="2"/>
  <c r="H284" i="2"/>
  <c r="G284" i="2"/>
  <c r="C284" i="2"/>
  <c r="P282" i="2"/>
  <c r="P281" i="2" s="1"/>
  <c r="H282" i="2"/>
  <c r="H281" i="2" s="1"/>
  <c r="T281" i="2"/>
  <c r="S281" i="2"/>
  <c r="R281" i="2"/>
  <c r="Q281" i="2"/>
  <c r="O281" i="2"/>
  <c r="N281" i="2"/>
  <c r="M281" i="2"/>
  <c r="L281" i="2"/>
  <c r="K281" i="2"/>
  <c r="J281" i="2"/>
  <c r="I281" i="2"/>
  <c r="G281" i="2"/>
  <c r="C281" i="2"/>
  <c r="U280" i="2"/>
  <c r="L279" i="2"/>
  <c r="L278" i="2" s="1"/>
  <c r="T278" i="2"/>
  <c r="S278" i="2"/>
  <c r="R278" i="2"/>
  <c r="Q278" i="2"/>
  <c r="P278" i="2"/>
  <c r="O278" i="2"/>
  <c r="N278" i="2"/>
  <c r="M278" i="2"/>
  <c r="K278" i="2"/>
  <c r="J278" i="2"/>
  <c r="I278" i="2"/>
  <c r="H278" i="2"/>
  <c r="G278" i="2"/>
  <c r="C278" i="2"/>
  <c r="L277" i="2"/>
  <c r="U277" i="2" s="1"/>
  <c r="L276" i="2"/>
  <c r="U276" i="2" s="1"/>
  <c r="U275" i="2" s="1"/>
  <c r="G276" i="2"/>
  <c r="G275" i="2" s="1"/>
  <c r="T275" i="2"/>
  <c r="S275" i="2"/>
  <c r="R275" i="2"/>
  <c r="Q275" i="2"/>
  <c r="P275" i="2"/>
  <c r="O275" i="2"/>
  <c r="N275" i="2"/>
  <c r="M275" i="2"/>
  <c r="L275" i="2"/>
  <c r="K275" i="2"/>
  <c r="J275" i="2"/>
  <c r="I275" i="2"/>
  <c r="H275" i="2"/>
  <c r="C275" i="2"/>
  <c r="L274" i="2"/>
  <c r="U274" i="2" s="1"/>
  <c r="U273" i="2" s="1"/>
  <c r="T273" i="2"/>
  <c r="S273" i="2"/>
  <c r="R273" i="2"/>
  <c r="Q273" i="2"/>
  <c r="P273" i="2"/>
  <c r="O273" i="2"/>
  <c r="N273" i="2"/>
  <c r="M273" i="2"/>
  <c r="L273" i="2"/>
  <c r="K273" i="2"/>
  <c r="J273" i="2"/>
  <c r="I273" i="2"/>
  <c r="H273" i="2"/>
  <c r="G273" i="2"/>
  <c r="C273" i="2"/>
  <c r="F271" i="2"/>
  <c r="U269" i="2"/>
  <c r="U268" i="2" s="1"/>
  <c r="T268" i="2"/>
  <c r="S268" i="2"/>
  <c r="R268" i="2"/>
  <c r="Q268" i="2"/>
  <c r="P268" i="2"/>
  <c r="O268" i="2"/>
  <c r="N268" i="2"/>
  <c r="M268" i="2"/>
  <c r="L268" i="2"/>
  <c r="K268" i="2"/>
  <c r="J268" i="2"/>
  <c r="I268" i="2"/>
  <c r="H268" i="2"/>
  <c r="G268" i="2"/>
  <c r="C268" i="2"/>
  <c r="T267" i="2"/>
  <c r="T266" i="2" s="1"/>
  <c r="S267" i="2"/>
  <c r="S266" i="2" s="1"/>
  <c r="R267" i="2"/>
  <c r="R266" i="2" s="1"/>
  <c r="Q267" i="2"/>
  <c r="Q266" i="2" s="1"/>
  <c r="P267" i="2"/>
  <c r="P266" i="2" s="1"/>
  <c r="O267" i="2"/>
  <c r="O266" i="2" s="1"/>
  <c r="N267" i="2"/>
  <c r="N266" i="2" s="1"/>
  <c r="M267" i="2"/>
  <c r="M266" i="2" s="1"/>
  <c r="L267" i="2"/>
  <c r="L266" i="2" s="1"/>
  <c r="K267" i="2"/>
  <c r="K266" i="2" s="1"/>
  <c r="J267" i="2"/>
  <c r="J266" i="2" s="1"/>
  <c r="I267" i="2"/>
  <c r="I266" i="2" s="1"/>
  <c r="H267" i="2"/>
  <c r="H266" i="2" s="1"/>
  <c r="G267" i="2"/>
  <c r="G266" i="2" s="1"/>
  <c r="C267" i="2"/>
  <c r="C266" i="2" s="1"/>
  <c r="O265" i="2"/>
  <c r="O264" i="2" s="1"/>
  <c r="O263" i="2" s="1"/>
  <c r="N265" i="2"/>
  <c r="N264" i="2" s="1"/>
  <c r="N263" i="2" s="1"/>
  <c r="K265" i="2"/>
  <c r="K264" i="2" s="1"/>
  <c r="K263" i="2" s="1"/>
  <c r="J265" i="2"/>
  <c r="I265" i="2"/>
  <c r="H265" i="2"/>
  <c r="T264" i="2"/>
  <c r="T263" i="2" s="1"/>
  <c r="S264" i="2"/>
  <c r="S263" i="2" s="1"/>
  <c r="R264" i="2"/>
  <c r="R263" i="2" s="1"/>
  <c r="Q264" i="2"/>
  <c r="Q263" i="2" s="1"/>
  <c r="P264" i="2"/>
  <c r="P263" i="2" s="1"/>
  <c r="M264" i="2"/>
  <c r="M263" i="2" s="1"/>
  <c r="L264" i="2"/>
  <c r="L263" i="2" s="1"/>
  <c r="I264" i="2"/>
  <c r="I263" i="2" s="1"/>
  <c r="H264" i="2"/>
  <c r="H263" i="2" s="1"/>
  <c r="G264" i="2"/>
  <c r="G263" i="2" s="1"/>
  <c r="C264" i="2"/>
  <c r="C263" i="2" s="1"/>
  <c r="U262" i="2"/>
  <c r="U261" i="2" s="1"/>
  <c r="U260" i="2" s="1"/>
  <c r="U259" i="2" s="1"/>
  <c r="T261" i="2"/>
  <c r="T260" i="2" s="1"/>
  <c r="T259" i="2" s="1"/>
  <c r="S261" i="2"/>
  <c r="S260" i="2" s="1"/>
  <c r="S259" i="2" s="1"/>
  <c r="R261" i="2"/>
  <c r="R260" i="2" s="1"/>
  <c r="R259" i="2" s="1"/>
  <c r="Q261" i="2"/>
  <c r="Q260" i="2" s="1"/>
  <c r="Q259" i="2" s="1"/>
  <c r="P261" i="2"/>
  <c r="P260" i="2" s="1"/>
  <c r="P259" i="2" s="1"/>
  <c r="O261" i="2"/>
  <c r="O260" i="2" s="1"/>
  <c r="O259" i="2" s="1"/>
  <c r="N261" i="2"/>
  <c r="N260" i="2" s="1"/>
  <c r="N259" i="2" s="1"/>
  <c r="M261" i="2"/>
  <c r="M260" i="2" s="1"/>
  <c r="M259" i="2" s="1"/>
  <c r="L261" i="2"/>
  <c r="L260" i="2" s="1"/>
  <c r="L259" i="2" s="1"/>
  <c r="K261" i="2"/>
  <c r="K260" i="2" s="1"/>
  <c r="K259" i="2" s="1"/>
  <c r="J261" i="2"/>
  <c r="J260" i="2" s="1"/>
  <c r="J259" i="2" s="1"/>
  <c r="I261" i="2"/>
  <c r="I260" i="2" s="1"/>
  <c r="I259" i="2" s="1"/>
  <c r="H261" i="2"/>
  <c r="H260" i="2" s="1"/>
  <c r="H259" i="2" s="1"/>
  <c r="G261" i="2"/>
  <c r="G260" i="2" s="1"/>
  <c r="G259" i="2" s="1"/>
  <c r="C261" i="2"/>
  <c r="C260" i="2"/>
  <c r="C259" i="2" s="1"/>
  <c r="U258" i="2"/>
  <c r="U257" i="2" s="1"/>
  <c r="U256" i="2" s="1"/>
  <c r="G258" i="2"/>
  <c r="G257" i="2" s="1"/>
  <c r="G256" i="2" s="1"/>
  <c r="C258" i="2"/>
  <c r="C257" i="2" s="1"/>
  <c r="C256" i="2" s="1"/>
  <c r="T257" i="2"/>
  <c r="T256" i="2" s="1"/>
  <c r="S257" i="2"/>
  <c r="S256" i="2" s="1"/>
  <c r="R257" i="2"/>
  <c r="R256" i="2" s="1"/>
  <c r="Q257" i="2"/>
  <c r="Q256" i="2" s="1"/>
  <c r="P257" i="2"/>
  <c r="P256" i="2" s="1"/>
  <c r="O257" i="2"/>
  <c r="O256" i="2" s="1"/>
  <c r="N257" i="2"/>
  <c r="N256" i="2" s="1"/>
  <c r="M257" i="2"/>
  <c r="M256" i="2" s="1"/>
  <c r="L257" i="2"/>
  <c r="L256" i="2" s="1"/>
  <c r="K257" i="2"/>
  <c r="K256" i="2" s="1"/>
  <c r="J257" i="2"/>
  <c r="J256" i="2" s="1"/>
  <c r="I257" i="2"/>
  <c r="H257" i="2"/>
  <c r="I256" i="2"/>
  <c r="H256" i="2"/>
  <c r="D256" i="2"/>
  <c r="U255" i="2"/>
  <c r="U253" i="2" s="1"/>
  <c r="U254" i="2"/>
  <c r="T254" i="2"/>
  <c r="S254" i="2"/>
  <c r="R254" i="2"/>
  <c r="Q254" i="2"/>
  <c r="P254" i="2"/>
  <c r="O254" i="2"/>
  <c r="N254" i="2"/>
  <c r="M254" i="2"/>
  <c r="L254" i="2"/>
  <c r="K254" i="2"/>
  <c r="J254" i="2"/>
  <c r="I254" i="2"/>
  <c r="H254" i="2"/>
  <c r="G254" i="2"/>
  <c r="C254" i="2"/>
  <c r="T253" i="2"/>
  <c r="S253" i="2"/>
  <c r="R253" i="2"/>
  <c r="Q253" i="2"/>
  <c r="P253" i="2"/>
  <c r="O253" i="2"/>
  <c r="N253" i="2"/>
  <c r="M253" i="2"/>
  <c r="L253" i="2"/>
  <c r="K253" i="2"/>
  <c r="J253" i="2"/>
  <c r="I253" i="2"/>
  <c r="H253" i="2"/>
  <c r="G253" i="2"/>
  <c r="D253" i="2"/>
  <c r="C253" i="2"/>
  <c r="U252" i="2"/>
  <c r="U251" i="2"/>
  <c r="T251" i="2"/>
  <c r="S251" i="2"/>
  <c r="R251" i="2"/>
  <c r="Q251" i="2"/>
  <c r="P251" i="2"/>
  <c r="O251" i="2"/>
  <c r="N251" i="2"/>
  <c r="M251" i="2"/>
  <c r="L251" i="2"/>
  <c r="K251" i="2"/>
  <c r="J251" i="2"/>
  <c r="I251" i="2"/>
  <c r="H251" i="2"/>
  <c r="H248" i="2" s="1"/>
  <c r="G251" i="2"/>
  <c r="C251" i="2"/>
  <c r="C248" i="2" s="1"/>
  <c r="U250" i="2"/>
  <c r="U249" i="2"/>
  <c r="T249" i="2"/>
  <c r="T248" i="2" s="1"/>
  <c r="S249" i="2"/>
  <c r="S248" i="2" s="1"/>
  <c r="R249" i="2"/>
  <c r="Q249" i="2"/>
  <c r="P249" i="2"/>
  <c r="O249" i="2"/>
  <c r="N249" i="2"/>
  <c r="M249" i="2"/>
  <c r="L249" i="2"/>
  <c r="K249" i="2"/>
  <c r="J249" i="2"/>
  <c r="I249" i="2"/>
  <c r="H249" i="2"/>
  <c r="G249" i="2"/>
  <c r="C249" i="2"/>
  <c r="L248" i="2"/>
  <c r="K248" i="2"/>
  <c r="D248" i="2"/>
  <c r="U247" i="2"/>
  <c r="U246" i="2"/>
  <c r="T246" i="2"/>
  <c r="S246" i="2"/>
  <c r="R246" i="2"/>
  <c r="Q246" i="2"/>
  <c r="P246" i="2"/>
  <c r="O246" i="2"/>
  <c r="N246" i="2"/>
  <c r="M246" i="2"/>
  <c r="L246" i="2"/>
  <c r="K246" i="2"/>
  <c r="J246" i="2"/>
  <c r="I246" i="2"/>
  <c r="H246" i="2"/>
  <c r="G246" i="2"/>
  <c r="C246" i="2"/>
  <c r="U245" i="2"/>
  <c r="U244" i="2"/>
  <c r="T244" i="2"/>
  <c r="S244" i="2"/>
  <c r="R244" i="2"/>
  <c r="Q244" i="2"/>
  <c r="P244" i="2"/>
  <c r="P239" i="2" s="1"/>
  <c r="O244" i="2"/>
  <c r="O239" i="2" s="1"/>
  <c r="N244" i="2"/>
  <c r="M244" i="2"/>
  <c r="L244" i="2"/>
  <c r="K244" i="2"/>
  <c r="J244" i="2"/>
  <c r="I244" i="2"/>
  <c r="H244" i="2"/>
  <c r="G244" i="2"/>
  <c r="C244" i="2"/>
  <c r="U243" i="2"/>
  <c r="U242" i="2"/>
  <c r="T242" i="2"/>
  <c r="S242" i="2"/>
  <c r="R242" i="2"/>
  <c r="Q242" i="2"/>
  <c r="P242" i="2"/>
  <c r="O242" i="2"/>
  <c r="N242" i="2"/>
  <c r="M242" i="2"/>
  <c r="L242" i="2"/>
  <c r="K242" i="2"/>
  <c r="J242" i="2"/>
  <c r="I242" i="2"/>
  <c r="H242" i="2"/>
  <c r="H239" i="2" s="1"/>
  <c r="G242" i="2"/>
  <c r="C242" i="2"/>
  <c r="U241" i="2"/>
  <c r="U240" i="2" s="1"/>
  <c r="T240" i="2"/>
  <c r="T239" i="2" s="1"/>
  <c r="S240" i="2"/>
  <c r="R240" i="2"/>
  <c r="Q240" i="2"/>
  <c r="P240" i="2"/>
  <c r="O240" i="2"/>
  <c r="N240" i="2"/>
  <c r="M240" i="2"/>
  <c r="L240" i="2"/>
  <c r="K240" i="2"/>
  <c r="J240" i="2"/>
  <c r="I240" i="2"/>
  <c r="H240" i="2"/>
  <c r="G240" i="2"/>
  <c r="C240" i="2"/>
  <c r="D239" i="2"/>
  <c r="U237" i="2"/>
  <c r="U236" i="2" s="1"/>
  <c r="U235" i="2" s="1"/>
  <c r="T236" i="2"/>
  <c r="T235" i="2" s="1"/>
  <c r="S236" i="2"/>
  <c r="S235" i="2" s="1"/>
  <c r="R236" i="2"/>
  <c r="R235" i="2" s="1"/>
  <c r="Q236" i="2"/>
  <c r="Q235" i="2" s="1"/>
  <c r="P236" i="2"/>
  <c r="P235" i="2" s="1"/>
  <c r="O236" i="2"/>
  <c r="O235" i="2" s="1"/>
  <c r="N236" i="2"/>
  <c r="N235" i="2" s="1"/>
  <c r="M236" i="2"/>
  <c r="M235" i="2" s="1"/>
  <c r="L236" i="2"/>
  <c r="K236" i="2"/>
  <c r="K235" i="2" s="1"/>
  <c r="J236" i="2"/>
  <c r="I236" i="2"/>
  <c r="H236" i="2"/>
  <c r="G236" i="2"/>
  <c r="C236" i="2"/>
  <c r="C235" i="2" s="1"/>
  <c r="L235" i="2"/>
  <c r="J235" i="2"/>
  <c r="I235" i="2"/>
  <c r="H235" i="2"/>
  <c r="G235" i="2"/>
  <c r="D235" i="2"/>
  <c r="U234" i="2"/>
  <c r="U232" i="2" s="1"/>
  <c r="T233" i="2"/>
  <c r="S233" i="2"/>
  <c r="R233" i="2"/>
  <c r="Q233" i="2"/>
  <c r="P233" i="2"/>
  <c r="O233" i="2"/>
  <c r="N233" i="2"/>
  <c r="M233" i="2"/>
  <c r="L233" i="2"/>
  <c r="K233" i="2"/>
  <c r="J233" i="2"/>
  <c r="I233" i="2"/>
  <c r="H233" i="2"/>
  <c r="G233" i="2"/>
  <c r="C233" i="2"/>
  <c r="T232" i="2"/>
  <c r="S232" i="2"/>
  <c r="R232" i="2"/>
  <c r="Q232" i="2"/>
  <c r="P232" i="2"/>
  <c r="O232" i="2"/>
  <c r="N232" i="2"/>
  <c r="M232" i="2"/>
  <c r="L232" i="2"/>
  <c r="K232" i="2"/>
  <c r="J232" i="2"/>
  <c r="I232" i="2"/>
  <c r="H232" i="2"/>
  <c r="G232" i="2"/>
  <c r="E232" i="2"/>
  <c r="D232" i="2"/>
  <c r="C232" i="2"/>
  <c r="U231" i="2"/>
  <c r="U230" i="2"/>
  <c r="T230" i="2"/>
  <c r="S230" i="2"/>
  <c r="R230" i="2"/>
  <c r="Q230" i="2"/>
  <c r="P230" i="2"/>
  <c r="O230" i="2"/>
  <c r="N230" i="2"/>
  <c r="M230" i="2"/>
  <c r="L230" i="2"/>
  <c r="K230" i="2"/>
  <c r="J230" i="2"/>
  <c r="I230" i="2"/>
  <c r="H230" i="2"/>
  <c r="G230" i="2"/>
  <c r="C230" i="2"/>
  <c r="U229" i="2"/>
  <c r="T229" i="2"/>
  <c r="S229" i="2"/>
  <c r="R229" i="2"/>
  <c r="Q229" i="2"/>
  <c r="P229" i="2"/>
  <c r="O229" i="2"/>
  <c r="O228" i="2" s="1"/>
  <c r="N229" i="2"/>
  <c r="M229" i="2"/>
  <c r="L229" i="2"/>
  <c r="K229" i="2"/>
  <c r="J229" i="2"/>
  <c r="I229" i="2"/>
  <c r="H229" i="2"/>
  <c r="G229" i="2"/>
  <c r="C229" i="2"/>
  <c r="L226" i="2"/>
  <c r="U226" i="2" s="1"/>
  <c r="U225" i="2" s="1"/>
  <c r="T225" i="2"/>
  <c r="S225" i="2"/>
  <c r="R225" i="2"/>
  <c r="Q225" i="2"/>
  <c r="P225" i="2"/>
  <c r="O225" i="2"/>
  <c r="N225" i="2"/>
  <c r="M225" i="2"/>
  <c r="L225" i="2"/>
  <c r="K225" i="2"/>
  <c r="J225" i="2"/>
  <c r="I225" i="2"/>
  <c r="H225" i="2"/>
  <c r="G225" i="2"/>
  <c r="C225" i="2"/>
  <c r="L224" i="2"/>
  <c r="L223" i="2" s="1"/>
  <c r="T223" i="2"/>
  <c r="S223" i="2"/>
  <c r="R223" i="2"/>
  <c r="Q223" i="2"/>
  <c r="P223" i="2"/>
  <c r="O223" i="2"/>
  <c r="N223" i="2"/>
  <c r="M223" i="2"/>
  <c r="K223" i="2"/>
  <c r="J223" i="2"/>
  <c r="I223" i="2"/>
  <c r="H223" i="2"/>
  <c r="G223" i="2"/>
  <c r="C223" i="2"/>
  <c r="Q222" i="2"/>
  <c r="Q221" i="2" s="1"/>
  <c r="P222" i="2"/>
  <c r="P221" i="2" s="1"/>
  <c r="O222" i="2"/>
  <c r="O221" i="2" s="1"/>
  <c r="N222" i="2"/>
  <c r="N221" i="2" s="1"/>
  <c r="L222" i="2"/>
  <c r="L221" i="2" s="1"/>
  <c r="U220" i="2"/>
  <c r="U219" i="2" s="1"/>
  <c r="U218" i="2" s="1"/>
  <c r="T219" i="2"/>
  <c r="T218" i="2" s="1"/>
  <c r="S219" i="2"/>
  <c r="S218" i="2" s="1"/>
  <c r="R219" i="2"/>
  <c r="Q219" i="2"/>
  <c r="Q218" i="2" s="1"/>
  <c r="P219" i="2"/>
  <c r="P218" i="2" s="1"/>
  <c r="O219" i="2"/>
  <c r="O218" i="2" s="1"/>
  <c r="N219" i="2"/>
  <c r="N218" i="2" s="1"/>
  <c r="M219" i="2"/>
  <c r="M218" i="2" s="1"/>
  <c r="L219" i="2"/>
  <c r="L218" i="2" s="1"/>
  <c r="K219" i="2"/>
  <c r="J219" i="2"/>
  <c r="I219" i="2"/>
  <c r="H219" i="2"/>
  <c r="G219" i="2"/>
  <c r="C219" i="2"/>
  <c r="R218" i="2"/>
  <c r="K218" i="2"/>
  <c r="J218" i="2"/>
  <c r="I218" i="2"/>
  <c r="I214" i="2" s="1"/>
  <c r="H218" i="2"/>
  <c r="G218" i="2"/>
  <c r="G214" i="2" s="1"/>
  <c r="C218" i="2"/>
  <c r="C214" i="2" s="1"/>
  <c r="U217" i="2"/>
  <c r="U215" i="2" s="1"/>
  <c r="T216" i="2"/>
  <c r="S216" i="2"/>
  <c r="R216" i="2"/>
  <c r="Q216" i="2"/>
  <c r="P216" i="2"/>
  <c r="O216" i="2"/>
  <c r="N216" i="2"/>
  <c r="M216" i="2"/>
  <c r="L216" i="2"/>
  <c r="K216" i="2"/>
  <c r="J216" i="2"/>
  <c r="I216" i="2"/>
  <c r="H216" i="2"/>
  <c r="G216" i="2"/>
  <c r="C216" i="2"/>
  <c r="T215" i="2"/>
  <c r="S215" i="2"/>
  <c r="R215" i="2"/>
  <c r="R214" i="2" s="1"/>
  <c r="Q215" i="2"/>
  <c r="P215" i="2"/>
  <c r="O215" i="2"/>
  <c r="O214" i="2" s="1"/>
  <c r="N215" i="2"/>
  <c r="N214" i="2" s="1"/>
  <c r="M215" i="2"/>
  <c r="L215" i="2"/>
  <c r="K215" i="2"/>
  <c r="J215" i="2"/>
  <c r="I215" i="2"/>
  <c r="H215" i="2"/>
  <c r="G215" i="2"/>
  <c r="C215" i="2"/>
  <c r="U212" i="2"/>
  <c r="U211" i="2" s="1"/>
  <c r="U210" i="2" s="1"/>
  <c r="G212" i="2"/>
  <c r="G211" i="2" s="1"/>
  <c r="T211" i="2"/>
  <c r="T210" i="2" s="1"/>
  <c r="S211" i="2"/>
  <c r="S210" i="2" s="1"/>
  <c r="R211" i="2"/>
  <c r="R210" i="2" s="1"/>
  <c r="R207" i="2" s="1"/>
  <c r="R206" i="2" s="1"/>
  <c r="Q211" i="2"/>
  <c r="Q210" i="2" s="1"/>
  <c r="Q207" i="2" s="1"/>
  <c r="Q206" i="2" s="1"/>
  <c r="P211" i="2"/>
  <c r="P210" i="2" s="1"/>
  <c r="P207" i="2" s="1"/>
  <c r="P206" i="2" s="1"/>
  <c r="O211" i="2"/>
  <c r="O210" i="2" s="1"/>
  <c r="O207" i="2" s="1"/>
  <c r="O206" i="2" s="1"/>
  <c r="N211" i="2"/>
  <c r="N210" i="2" s="1"/>
  <c r="N207" i="2" s="1"/>
  <c r="N206" i="2" s="1"/>
  <c r="M211" i="2"/>
  <c r="M210" i="2" s="1"/>
  <c r="L211" i="2"/>
  <c r="L210" i="2" s="1"/>
  <c r="K211" i="2"/>
  <c r="K210" i="2" s="1"/>
  <c r="J211" i="2"/>
  <c r="J210" i="2" s="1"/>
  <c r="I211" i="2"/>
  <c r="I210" i="2" s="1"/>
  <c r="H211" i="2"/>
  <c r="C211" i="2"/>
  <c r="H210" i="2"/>
  <c r="G210" i="2"/>
  <c r="G207" i="2" s="1"/>
  <c r="G206" i="2" s="1"/>
  <c r="C210" i="2"/>
  <c r="C207" i="2" s="1"/>
  <c r="C206" i="2" s="1"/>
  <c r="U209" i="2"/>
  <c r="U208" i="2" s="1"/>
  <c r="T208" i="2"/>
  <c r="S208" i="2"/>
  <c r="R208" i="2"/>
  <c r="Q208" i="2"/>
  <c r="P208" i="2"/>
  <c r="O208" i="2"/>
  <c r="N208" i="2"/>
  <c r="M208" i="2"/>
  <c r="L208" i="2"/>
  <c r="K208" i="2"/>
  <c r="J208" i="2"/>
  <c r="I208" i="2"/>
  <c r="H208" i="2"/>
  <c r="G208" i="2"/>
  <c r="C208" i="2"/>
  <c r="F206" i="2"/>
  <c r="U205" i="2"/>
  <c r="U204" i="2" s="1"/>
  <c r="T204" i="2"/>
  <c r="S204" i="2"/>
  <c r="R204" i="2"/>
  <c r="Q204" i="2"/>
  <c r="P204" i="2"/>
  <c r="O204" i="2"/>
  <c r="N204" i="2"/>
  <c r="M204" i="2"/>
  <c r="L204" i="2"/>
  <c r="K204" i="2"/>
  <c r="J204" i="2"/>
  <c r="I204" i="2"/>
  <c r="H204" i="2"/>
  <c r="G204" i="2"/>
  <c r="C204" i="2"/>
  <c r="T203" i="2"/>
  <c r="S203" i="2"/>
  <c r="R203" i="2"/>
  <c r="Q203" i="2"/>
  <c r="P203" i="2"/>
  <c r="O203" i="2"/>
  <c r="N203" i="2"/>
  <c r="M203" i="2"/>
  <c r="L203" i="2"/>
  <c r="K203" i="2"/>
  <c r="J203" i="2"/>
  <c r="I203" i="2"/>
  <c r="H203" i="2"/>
  <c r="G203" i="2"/>
  <c r="C203" i="2"/>
  <c r="U202" i="2"/>
  <c r="U201" i="2"/>
  <c r="U200" i="2" s="1"/>
  <c r="U199" i="2" s="1"/>
  <c r="T200" i="2"/>
  <c r="T199" i="2" s="1"/>
  <c r="S200" i="2"/>
  <c r="S199" i="2" s="1"/>
  <c r="R200" i="2"/>
  <c r="R199" i="2" s="1"/>
  <c r="Q200" i="2"/>
  <c r="Q199" i="2" s="1"/>
  <c r="P200" i="2"/>
  <c r="O200" i="2"/>
  <c r="O199" i="2" s="1"/>
  <c r="N200" i="2"/>
  <c r="M200" i="2"/>
  <c r="L200" i="2"/>
  <c r="L199" i="2" s="1"/>
  <c r="K200" i="2"/>
  <c r="K199" i="2" s="1"/>
  <c r="J200" i="2"/>
  <c r="J199" i="2" s="1"/>
  <c r="I200" i="2"/>
  <c r="I199" i="2" s="1"/>
  <c r="H200" i="2"/>
  <c r="H199" i="2" s="1"/>
  <c r="G200" i="2"/>
  <c r="G199" i="2" s="1"/>
  <c r="C200" i="2"/>
  <c r="C199" i="2" s="1"/>
  <c r="P199" i="2"/>
  <c r="N199" i="2"/>
  <c r="M199" i="2"/>
  <c r="U198" i="2"/>
  <c r="U197" i="2" s="1"/>
  <c r="T197" i="2"/>
  <c r="S197" i="2"/>
  <c r="R197" i="2"/>
  <c r="Q197" i="2"/>
  <c r="P197" i="2"/>
  <c r="O197" i="2"/>
  <c r="N197" i="2"/>
  <c r="M197" i="2"/>
  <c r="L197" i="2"/>
  <c r="K197" i="2"/>
  <c r="J197" i="2"/>
  <c r="I197" i="2"/>
  <c r="H197" i="2"/>
  <c r="G197" i="2"/>
  <c r="C197" i="2"/>
  <c r="T196" i="2"/>
  <c r="S196" i="2"/>
  <c r="R196" i="2"/>
  <c r="Q196" i="2"/>
  <c r="P196" i="2"/>
  <c r="O196" i="2"/>
  <c r="N196" i="2"/>
  <c r="M196" i="2"/>
  <c r="L196" i="2"/>
  <c r="K196" i="2"/>
  <c r="J196" i="2"/>
  <c r="I196" i="2"/>
  <c r="H196" i="2"/>
  <c r="G196" i="2"/>
  <c r="C196" i="2"/>
  <c r="U195" i="2"/>
  <c r="U194" i="2"/>
  <c r="T194" i="2"/>
  <c r="S194" i="2"/>
  <c r="R194" i="2"/>
  <c r="Q194" i="2"/>
  <c r="P194" i="2"/>
  <c r="O194" i="2"/>
  <c r="N194" i="2"/>
  <c r="M194" i="2"/>
  <c r="L194" i="2"/>
  <c r="K194" i="2"/>
  <c r="J194" i="2"/>
  <c r="I194" i="2"/>
  <c r="H194" i="2"/>
  <c r="G194" i="2"/>
  <c r="C194" i="2"/>
  <c r="U193" i="2"/>
  <c r="U192" i="2"/>
  <c r="T192" i="2"/>
  <c r="S192" i="2"/>
  <c r="R192" i="2"/>
  <c r="Q192" i="2"/>
  <c r="P192" i="2"/>
  <c r="O192" i="2"/>
  <c r="N192" i="2"/>
  <c r="M192" i="2"/>
  <c r="L192" i="2"/>
  <c r="K192" i="2"/>
  <c r="J192" i="2"/>
  <c r="I192" i="2"/>
  <c r="H192" i="2"/>
  <c r="G192" i="2"/>
  <c r="C192" i="2"/>
  <c r="U191" i="2"/>
  <c r="U190" i="2"/>
  <c r="T190" i="2"/>
  <c r="S190" i="2"/>
  <c r="R190" i="2"/>
  <c r="Q190" i="2"/>
  <c r="P190" i="2"/>
  <c r="O190" i="2"/>
  <c r="O187" i="2" s="1"/>
  <c r="N190" i="2"/>
  <c r="M190" i="2"/>
  <c r="L190" i="2"/>
  <c r="K190" i="2"/>
  <c r="J190" i="2"/>
  <c r="I190" i="2"/>
  <c r="H190" i="2"/>
  <c r="G190" i="2"/>
  <c r="C190" i="2"/>
  <c r="U189" i="2"/>
  <c r="U188" i="2" s="1"/>
  <c r="T188" i="2"/>
  <c r="S188" i="2"/>
  <c r="R188" i="2"/>
  <c r="Q188" i="2"/>
  <c r="P188" i="2"/>
  <c r="O188" i="2"/>
  <c r="N188" i="2"/>
  <c r="M188" i="2"/>
  <c r="L188" i="2"/>
  <c r="K188" i="2"/>
  <c r="J188" i="2"/>
  <c r="I188" i="2"/>
  <c r="H188" i="2"/>
  <c r="G188" i="2"/>
  <c r="C188" i="2"/>
  <c r="I187" i="2"/>
  <c r="U186" i="2"/>
  <c r="U185" i="2" s="1"/>
  <c r="U182" i="2" s="1"/>
  <c r="T185" i="2"/>
  <c r="T182" i="2" s="1"/>
  <c r="S185" i="2"/>
  <c r="S182" i="2" s="1"/>
  <c r="R185" i="2"/>
  <c r="R182" i="2" s="1"/>
  <c r="Q185" i="2"/>
  <c r="P185" i="2"/>
  <c r="O185" i="2"/>
  <c r="N185" i="2"/>
  <c r="M185" i="2"/>
  <c r="L185" i="2"/>
  <c r="L182" i="2" s="1"/>
  <c r="K185" i="2"/>
  <c r="K182" i="2" s="1"/>
  <c r="J185" i="2"/>
  <c r="J182" i="2" s="1"/>
  <c r="I185" i="2"/>
  <c r="I182" i="2" s="1"/>
  <c r="H185" i="2"/>
  <c r="H182" i="2" s="1"/>
  <c r="G185" i="2"/>
  <c r="C185" i="2"/>
  <c r="U184" i="2"/>
  <c r="G183" i="2"/>
  <c r="C183" i="2"/>
  <c r="Q182" i="2"/>
  <c r="P182" i="2"/>
  <c r="O182" i="2"/>
  <c r="N182" i="2"/>
  <c r="M182" i="2"/>
  <c r="U181" i="2"/>
  <c r="U180" i="2"/>
  <c r="T180" i="2"/>
  <c r="S180" i="2"/>
  <c r="R180" i="2"/>
  <c r="R179" i="2" s="1"/>
  <c r="Q180" i="2"/>
  <c r="Q179" i="2" s="1"/>
  <c r="P180" i="2"/>
  <c r="P179" i="2" s="1"/>
  <c r="O180" i="2"/>
  <c r="N180" i="2"/>
  <c r="M180" i="2"/>
  <c r="M179" i="2" s="1"/>
  <c r="L180" i="2"/>
  <c r="L179" i="2" s="1"/>
  <c r="K180" i="2"/>
  <c r="K179" i="2" s="1"/>
  <c r="J180" i="2"/>
  <c r="J179" i="2" s="1"/>
  <c r="I180" i="2"/>
  <c r="I179" i="2" s="1"/>
  <c r="H180" i="2"/>
  <c r="H179" i="2" s="1"/>
  <c r="G180" i="2"/>
  <c r="G179" i="2" s="1"/>
  <c r="C180" i="2"/>
  <c r="C179" i="2" s="1"/>
  <c r="U179" i="2"/>
  <c r="T179" i="2"/>
  <c r="S179" i="2"/>
  <c r="O179" i="2"/>
  <c r="N179" i="2"/>
  <c r="U178" i="2"/>
  <c r="U177" i="2" s="1"/>
  <c r="T177" i="2"/>
  <c r="S177" i="2"/>
  <c r="R177" i="2"/>
  <c r="Q177" i="2"/>
  <c r="P177" i="2"/>
  <c r="O177" i="2"/>
  <c r="N177" i="2"/>
  <c r="M177" i="2"/>
  <c r="L177" i="2"/>
  <c r="K177" i="2"/>
  <c r="J177" i="2"/>
  <c r="I177" i="2"/>
  <c r="I174" i="2" s="1"/>
  <c r="H177" i="2"/>
  <c r="G177" i="2"/>
  <c r="C177" i="2"/>
  <c r="C174" i="2" s="1"/>
  <c r="U176" i="2"/>
  <c r="U175" i="2"/>
  <c r="U174" i="2" s="1"/>
  <c r="T175" i="2"/>
  <c r="T174" i="2" s="1"/>
  <c r="S175" i="2"/>
  <c r="S174" i="2" s="1"/>
  <c r="R175" i="2"/>
  <c r="R174" i="2" s="1"/>
  <c r="Q175" i="2"/>
  <c r="Q174" i="2" s="1"/>
  <c r="P175" i="2"/>
  <c r="P174" i="2" s="1"/>
  <c r="O175" i="2"/>
  <c r="N175" i="2"/>
  <c r="M175" i="2"/>
  <c r="L175" i="2"/>
  <c r="K175" i="2"/>
  <c r="K174" i="2" s="1"/>
  <c r="J175" i="2"/>
  <c r="J174" i="2" s="1"/>
  <c r="I175" i="2"/>
  <c r="H175" i="2"/>
  <c r="H174" i="2" s="1"/>
  <c r="G175" i="2"/>
  <c r="C175" i="2"/>
  <c r="G174" i="2"/>
  <c r="L173" i="2"/>
  <c r="U173" i="2" s="1"/>
  <c r="U172" i="2" s="1"/>
  <c r="T172" i="2"/>
  <c r="S172" i="2"/>
  <c r="R172" i="2"/>
  <c r="Q172" i="2"/>
  <c r="P172" i="2"/>
  <c r="O172" i="2"/>
  <c r="N172" i="2"/>
  <c r="M172" i="2"/>
  <c r="K172" i="2"/>
  <c r="J172" i="2"/>
  <c r="I172" i="2"/>
  <c r="G172" i="2"/>
  <c r="C172" i="2"/>
  <c r="U171" i="2"/>
  <c r="G170" i="2"/>
  <c r="C170" i="2"/>
  <c r="C167" i="2" s="1"/>
  <c r="U169" i="2"/>
  <c r="U168" i="2"/>
  <c r="T168" i="2"/>
  <c r="S168" i="2"/>
  <c r="R168" i="2"/>
  <c r="Q168" i="2"/>
  <c r="P168" i="2"/>
  <c r="O168" i="2"/>
  <c r="N168" i="2"/>
  <c r="M168" i="2"/>
  <c r="L168" i="2"/>
  <c r="K168" i="2"/>
  <c r="J168" i="2"/>
  <c r="J167" i="2" s="1"/>
  <c r="I168" i="2"/>
  <c r="I167" i="2" s="1"/>
  <c r="H168" i="2"/>
  <c r="G168" i="2"/>
  <c r="C168" i="2"/>
  <c r="H167" i="2"/>
  <c r="U165" i="2"/>
  <c r="U164" i="2" s="1"/>
  <c r="T164" i="2"/>
  <c r="S164" i="2"/>
  <c r="R164" i="2"/>
  <c r="Q164" i="2"/>
  <c r="P164" i="2"/>
  <c r="O164" i="2"/>
  <c r="N164" i="2"/>
  <c r="M164" i="2"/>
  <c r="L164" i="2"/>
  <c r="K164" i="2"/>
  <c r="J164" i="2"/>
  <c r="I164" i="2"/>
  <c r="H164" i="2"/>
  <c r="G164" i="2"/>
  <c r="C164" i="2"/>
  <c r="Q163" i="2"/>
  <c r="L163" i="2"/>
  <c r="L162" i="2" s="1"/>
  <c r="T162" i="2"/>
  <c r="S162" i="2"/>
  <c r="R162" i="2"/>
  <c r="P162" i="2"/>
  <c r="O162" i="2"/>
  <c r="N162" i="2"/>
  <c r="M162" i="2"/>
  <c r="K162" i="2"/>
  <c r="J162" i="2"/>
  <c r="I162" i="2"/>
  <c r="H162" i="2"/>
  <c r="G162" i="2"/>
  <c r="C162" i="2"/>
  <c r="L161" i="2"/>
  <c r="U161" i="2" s="1"/>
  <c r="U160" i="2" s="1"/>
  <c r="T160" i="2"/>
  <c r="S160" i="2"/>
  <c r="R160" i="2"/>
  <c r="Q160" i="2"/>
  <c r="P160" i="2"/>
  <c r="O160" i="2"/>
  <c r="N160" i="2"/>
  <c r="M160" i="2"/>
  <c r="L160" i="2"/>
  <c r="K160" i="2"/>
  <c r="J160" i="2"/>
  <c r="I160" i="2"/>
  <c r="H160" i="2"/>
  <c r="G160" i="2"/>
  <c r="C160" i="2"/>
  <c r="Q159" i="2"/>
  <c r="Q158" i="2" s="1"/>
  <c r="L159" i="2"/>
  <c r="T158" i="2"/>
  <c r="S158" i="2"/>
  <c r="R158" i="2"/>
  <c r="P158" i="2"/>
  <c r="O158" i="2"/>
  <c r="N158" i="2"/>
  <c r="M158" i="2"/>
  <c r="L158" i="2"/>
  <c r="K158" i="2"/>
  <c r="J158" i="2"/>
  <c r="I158" i="2"/>
  <c r="H158" i="2"/>
  <c r="G158" i="2"/>
  <c r="C158" i="2"/>
  <c r="L157" i="2"/>
  <c r="L156" i="2" s="1"/>
  <c r="K157" i="2"/>
  <c r="K156" i="2" s="1"/>
  <c r="T156" i="2"/>
  <c r="T155" i="2" s="1"/>
  <c r="S156" i="2"/>
  <c r="R156" i="2"/>
  <c r="Q156" i="2"/>
  <c r="P156" i="2"/>
  <c r="O156" i="2"/>
  <c r="N156" i="2"/>
  <c r="M156" i="2"/>
  <c r="J156" i="2"/>
  <c r="I156" i="2"/>
  <c r="H156" i="2"/>
  <c r="G156" i="2"/>
  <c r="C156" i="2"/>
  <c r="U154" i="2"/>
  <c r="L153" i="2"/>
  <c r="U153" i="2" s="1"/>
  <c r="U152" i="2" s="1"/>
  <c r="T152" i="2"/>
  <c r="S152" i="2"/>
  <c r="R152" i="2"/>
  <c r="Q152" i="2"/>
  <c r="P152" i="2"/>
  <c r="O152" i="2"/>
  <c r="N152" i="2"/>
  <c r="M152" i="2"/>
  <c r="M147" i="2" s="1"/>
  <c r="L152" i="2"/>
  <c r="L147" i="2" s="1"/>
  <c r="K152" i="2"/>
  <c r="J152" i="2"/>
  <c r="I152" i="2"/>
  <c r="H152" i="2"/>
  <c r="G152" i="2"/>
  <c r="C152" i="2"/>
  <c r="U151" i="2"/>
  <c r="U150" i="2"/>
  <c r="L149" i="2"/>
  <c r="K149" i="2"/>
  <c r="T148" i="2"/>
  <c r="S148" i="2"/>
  <c r="R148" i="2"/>
  <c r="Q148" i="2"/>
  <c r="P148" i="2"/>
  <c r="O148" i="2"/>
  <c r="O147" i="2" s="1"/>
  <c r="N148" i="2"/>
  <c r="N147" i="2" s="1"/>
  <c r="M148" i="2"/>
  <c r="L148" i="2"/>
  <c r="J148" i="2"/>
  <c r="I148" i="2"/>
  <c r="H148" i="2"/>
  <c r="G148" i="2"/>
  <c r="G147" i="2" s="1"/>
  <c r="C148" i="2"/>
  <c r="C147" i="2" s="1"/>
  <c r="T147" i="2"/>
  <c r="L146" i="2"/>
  <c r="L145" i="2" s="1"/>
  <c r="T145" i="2"/>
  <c r="S145" i="2"/>
  <c r="R145" i="2"/>
  <c r="Q145" i="2"/>
  <c r="P145" i="2"/>
  <c r="O145" i="2"/>
  <c r="N145" i="2"/>
  <c r="M145" i="2"/>
  <c r="K145" i="2"/>
  <c r="J145" i="2"/>
  <c r="I145" i="2"/>
  <c r="H145" i="2"/>
  <c r="G145" i="2"/>
  <c r="G140" i="2" s="1"/>
  <c r="C145" i="2"/>
  <c r="U144" i="2"/>
  <c r="U143" i="2"/>
  <c r="T143" i="2"/>
  <c r="S143" i="2"/>
  <c r="R143" i="2"/>
  <c r="Q143" i="2"/>
  <c r="P143" i="2"/>
  <c r="O143" i="2"/>
  <c r="N143" i="2"/>
  <c r="M143" i="2"/>
  <c r="L143" i="2"/>
  <c r="K143" i="2"/>
  <c r="J143" i="2"/>
  <c r="I143" i="2"/>
  <c r="H143" i="2"/>
  <c r="G143" i="2"/>
  <c r="C143" i="2"/>
  <c r="L142" i="2"/>
  <c r="U142" i="2" s="1"/>
  <c r="U141" i="2"/>
  <c r="T141" i="2"/>
  <c r="S141" i="2"/>
  <c r="R141" i="2"/>
  <c r="Q141" i="2"/>
  <c r="P141" i="2"/>
  <c r="O141" i="2"/>
  <c r="O140" i="2" s="1"/>
  <c r="N141" i="2"/>
  <c r="N140" i="2" s="1"/>
  <c r="M141" i="2"/>
  <c r="M140" i="2" s="1"/>
  <c r="L141" i="2"/>
  <c r="L140" i="2" s="1"/>
  <c r="K141" i="2"/>
  <c r="K140" i="2" s="1"/>
  <c r="J141" i="2"/>
  <c r="J140" i="2" s="1"/>
  <c r="I141" i="2"/>
  <c r="H141" i="2"/>
  <c r="G141" i="2"/>
  <c r="C141" i="2"/>
  <c r="P139" i="2"/>
  <c r="P138" i="2" s="1"/>
  <c r="L139" i="2"/>
  <c r="T138" i="2"/>
  <c r="S138" i="2"/>
  <c r="R138" i="2"/>
  <c r="Q138" i="2"/>
  <c r="O138" i="2"/>
  <c r="N138" i="2"/>
  <c r="M138" i="2"/>
  <c r="K138" i="2"/>
  <c r="J138" i="2"/>
  <c r="I138" i="2"/>
  <c r="H138" i="2"/>
  <c r="G138" i="2"/>
  <c r="C138" i="2"/>
  <c r="L137" i="2"/>
  <c r="L136" i="2" s="1"/>
  <c r="T136" i="2"/>
  <c r="S136" i="2"/>
  <c r="R136" i="2"/>
  <c r="Q136" i="2"/>
  <c r="P136" i="2"/>
  <c r="O136" i="2"/>
  <c r="N136" i="2"/>
  <c r="M136" i="2"/>
  <c r="K136" i="2"/>
  <c r="J136" i="2"/>
  <c r="I136" i="2"/>
  <c r="H136" i="2"/>
  <c r="G136" i="2"/>
  <c r="C136" i="2"/>
  <c r="U135" i="2"/>
  <c r="U134" i="2" s="1"/>
  <c r="T134" i="2"/>
  <c r="S134" i="2"/>
  <c r="R134" i="2"/>
  <c r="Q134" i="2"/>
  <c r="Q133" i="2" s="1"/>
  <c r="P134" i="2"/>
  <c r="O134" i="2"/>
  <c r="N134" i="2"/>
  <c r="M134" i="2"/>
  <c r="L134" i="2"/>
  <c r="K134" i="2"/>
  <c r="K133" i="2" s="1"/>
  <c r="J134" i="2"/>
  <c r="I134" i="2"/>
  <c r="H134" i="2"/>
  <c r="G134" i="2"/>
  <c r="C134" i="2"/>
  <c r="L132" i="2"/>
  <c r="L131" i="2" s="1"/>
  <c r="L130" i="2" s="1"/>
  <c r="T131" i="2"/>
  <c r="T130" i="2" s="1"/>
  <c r="S131" i="2"/>
  <c r="S130" i="2" s="1"/>
  <c r="R131" i="2"/>
  <c r="R130" i="2" s="1"/>
  <c r="Q131" i="2"/>
  <c r="Q130" i="2" s="1"/>
  <c r="P131" i="2"/>
  <c r="P130" i="2" s="1"/>
  <c r="O131" i="2"/>
  <c r="O130" i="2" s="1"/>
  <c r="N131" i="2"/>
  <c r="N130" i="2" s="1"/>
  <c r="M131" i="2"/>
  <c r="M130" i="2" s="1"/>
  <c r="K131" i="2"/>
  <c r="K130" i="2" s="1"/>
  <c r="J131" i="2"/>
  <c r="J130" i="2" s="1"/>
  <c r="I131" i="2"/>
  <c r="I130" i="2" s="1"/>
  <c r="H131" i="2"/>
  <c r="H130" i="2" s="1"/>
  <c r="G131" i="2"/>
  <c r="G130" i="2" s="1"/>
  <c r="C131" i="2"/>
  <c r="C130" i="2" s="1"/>
  <c r="L129" i="2"/>
  <c r="U129" i="2" s="1"/>
  <c r="U128" i="2" s="1"/>
  <c r="T128" i="2"/>
  <c r="S128" i="2"/>
  <c r="R128" i="2"/>
  <c r="Q128" i="2"/>
  <c r="P128" i="2"/>
  <c r="O128" i="2"/>
  <c r="N128" i="2"/>
  <c r="M128" i="2"/>
  <c r="K128" i="2"/>
  <c r="J128" i="2"/>
  <c r="I128" i="2"/>
  <c r="H128" i="2"/>
  <c r="G128" i="2"/>
  <c r="C128" i="2"/>
  <c r="L127" i="2"/>
  <c r="U127" i="2" s="1"/>
  <c r="U126" i="2" s="1"/>
  <c r="T126" i="2"/>
  <c r="S126" i="2"/>
  <c r="R126" i="2"/>
  <c r="Q126" i="2"/>
  <c r="P126" i="2"/>
  <c r="O126" i="2"/>
  <c r="N126" i="2"/>
  <c r="M126" i="2"/>
  <c r="L126" i="2"/>
  <c r="K126" i="2"/>
  <c r="J126" i="2"/>
  <c r="I126" i="2"/>
  <c r="H126" i="2"/>
  <c r="G126" i="2"/>
  <c r="C126" i="2"/>
  <c r="L125" i="2"/>
  <c r="L124" i="2" s="1"/>
  <c r="T124" i="2"/>
  <c r="S124" i="2"/>
  <c r="R124" i="2"/>
  <c r="Q124" i="2"/>
  <c r="P124" i="2"/>
  <c r="O124" i="2"/>
  <c r="N124" i="2"/>
  <c r="M124" i="2"/>
  <c r="K124" i="2"/>
  <c r="J124" i="2"/>
  <c r="I124" i="2"/>
  <c r="H124" i="2"/>
  <c r="G124" i="2"/>
  <c r="C124" i="2"/>
  <c r="L123" i="2"/>
  <c r="T122" i="2"/>
  <c r="S122" i="2"/>
  <c r="R122" i="2"/>
  <c r="Q122" i="2"/>
  <c r="P122" i="2"/>
  <c r="O122" i="2"/>
  <c r="N122" i="2"/>
  <c r="M122" i="2"/>
  <c r="K122" i="2"/>
  <c r="J122" i="2"/>
  <c r="I122" i="2"/>
  <c r="H122" i="2"/>
  <c r="G122" i="2"/>
  <c r="C122" i="2"/>
  <c r="U120" i="2"/>
  <c r="U119" i="2"/>
  <c r="T119" i="2"/>
  <c r="S119" i="2"/>
  <c r="R119" i="2"/>
  <c r="Q119" i="2"/>
  <c r="P119" i="2"/>
  <c r="O119" i="2"/>
  <c r="O114" i="2" s="1"/>
  <c r="N119" i="2"/>
  <c r="N114" i="2" s="1"/>
  <c r="M119" i="2"/>
  <c r="M114" i="2" s="1"/>
  <c r="L119" i="2"/>
  <c r="K119" i="2"/>
  <c r="J119" i="2"/>
  <c r="I119" i="2"/>
  <c r="H119" i="2"/>
  <c r="G119" i="2"/>
  <c r="C119" i="2"/>
  <c r="L118" i="2"/>
  <c r="U118" i="2" s="1"/>
  <c r="U117" i="2" s="1"/>
  <c r="T117" i="2"/>
  <c r="S117" i="2"/>
  <c r="R117" i="2"/>
  <c r="Q117" i="2"/>
  <c r="P117" i="2"/>
  <c r="O117" i="2"/>
  <c r="N117" i="2"/>
  <c r="M117" i="2"/>
  <c r="L117" i="2"/>
  <c r="K117" i="2"/>
  <c r="J117" i="2"/>
  <c r="I117" i="2"/>
  <c r="H117" i="2"/>
  <c r="G117" i="2"/>
  <c r="C117" i="2"/>
  <c r="L116" i="2"/>
  <c r="U116" i="2" s="1"/>
  <c r="U115" i="2" s="1"/>
  <c r="T115" i="2"/>
  <c r="T114" i="2" s="1"/>
  <c r="S115" i="2"/>
  <c r="S114" i="2" s="1"/>
  <c r="R115" i="2"/>
  <c r="Q115" i="2"/>
  <c r="P115" i="2"/>
  <c r="O115" i="2"/>
  <c r="N115" i="2"/>
  <c r="M115" i="2"/>
  <c r="K115" i="2"/>
  <c r="J115" i="2"/>
  <c r="I115" i="2"/>
  <c r="H115" i="2"/>
  <c r="G115" i="2"/>
  <c r="C115" i="2"/>
  <c r="L113" i="2"/>
  <c r="U113" i="2" s="1"/>
  <c r="U112" i="2" s="1"/>
  <c r="T112" i="2"/>
  <c r="S112" i="2"/>
  <c r="R112" i="2"/>
  <c r="Q112" i="2"/>
  <c r="P112" i="2"/>
  <c r="O112" i="2"/>
  <c r="N112" i="2"/>
  <c r="M112" i="2"/>
  <c r="L112" i="2"/>
  <c r="K112" i="2"/>
  <c r="J112" i="2"/>
  <c r="I112" i="2"/>
  <c r="H112" i="2"/>
  <c r="G112" i="2"/>
  <c r="C112" i="2"/>
  <c r="L111" i="2"/>
  <c r="U111" i="2" s="1"/>
  <c r="U110" i="2" s="1"/>
  <c r="T110" i="2"/>
  <c r="S110" i="2"/>
  <c r="R110" i="2"/>
  <c r="Q110" i="2"/>
  <c r="P110" i="2"/>
  <c r="O110" i="2"/>
  <c r="N110" i="2"/>
  <c r="M110" i="2"/>
  <c r="L110" i="2"/>
  <c r="K110" i="2"/>
  <c r="K109" i="2" s="1"/>
  <c r="J110" i="2"/>
  <c r="J109" i="2" s="1"/>
  <c r="I110" i="2"/>
  <c r="H110" i="2"/>
  <c r="H109" i="2" s="1"/>
  <c r="G110" i="2"/>
  <c r="C110" i="2"/>
  <c r="L109" i="2"/>
  <c r="U107" i="2"/>
  <c r="U106" i="2"/>
  <c r="T106" i="2"/>
  <c r="S106" i="2"/>
  <c r="R106" i="2"/>
  <c r="Q106" i="2"/>
  <c r="P106" i="2"/>
  <c r="O106" i="2"/>
  <c r="N106" i="2"/>
  <c r="M106" i="2"/>
  <c r="L106" i="2"/>
  <c r="K106" i="2"/>
  <c r="J106" i="2"/>
  <c r="I106" i="2"/>
  <c r="H106" i="2"/>
  <c r="G106" i="2"/>
  <c r="C106" i="2"/>
  <c r="U105" i="2"/>
  <c r="L104" i="2"/>
  <c r="U104" i="2" s="1"/>
  <c r="T103" i="2"/>
  <c r="S103" i="2"/>
  <c r="R103" i="2"/>
  <c r="Q103" i="2"/>
  <c r="P103" i="2"/>
  <c r="O103" i="2"/>
  <c r="N103" i="2"/>
  <c r="M103" i="2"/>
  <c r="K103" i="2"/>
  <c r="J103" i="2"/>
  <c r="I103" i="2"/>
  <c r="H103" i="2"/>
  <c r="G103" i="2"/>
  <c r="C103" i="2"/>
  <c r="L102" i="2"/>
  <c r="L101" i="2" s="1"/>
  <c r="T101" i="2"/>
  <c r="S101" i="2"/>
  <c r="R101" i="2"/>
  <c r="Q101" i="2"/>
  <c r="P101" i="2"/>
  <c r="O101" i="2"/>
  <c r="N101" i="2"/>
  <c r="M101" i="2"/>
  <c r="K101" i="2"/>
  <c r="J101" i="2"/>
  <c r="I101" i="2"/>
  <c r="H101" i="2"/>
  <c r="G101" i="2"/>
  <c r="C101" i="2"/>
  <c r="L100" i="2"/>
  <c r="L99" i="2" s="1"/>
  <c r="T99" i="2"/>
  <c r="S99" i="2"/>
  <c r="R99" i="2"/>
  <c r="Q99" i="2"/>
  <c r="P99" i="2"/>
  <c r="O99" i="2"/>
  <c r="N99" i="2"/>
  <c r="M99" i="2"/>
  <c r="K99" i="2"/>
  <c r="J99" i="2"/>
  <c r="I99" i="2"/>
  <c r="H99" i="2"/>
  <c r="G99" i="2"/>
  <c r="C99" i="2"/>
  <c r="U98" i="2"/>
  <c r="U97" i="2" s="1"/>
  <c r="T97" i="2"/>
  <c r="S97" i="2"/>
  <c r="R97" i="2"/>
  <c r="Q97" i="2"/>
  <c r="P97" i="2"/>
  <c r="O97" i="2"/>
  <c r="N97" i="2"/>
  <c r="M97" i="2"/>
  <c r="L97" i="2"/>
  <c r="K97" i="2"/>
  <c r="J97" i="2"/>
  <c r="I97" i="2"/>
  <c r="H97" i="2"/>
  <c r="G97" i="2"/>
  <c r="C97" i="2"/>
  <c r="M96" i="2"/>
  <c r="U96" i="2" s="1"/>
  <c r="U95" i="2" s="1"/>
  <c r="T95" i="2"/>
  <c r="S95" i="2"/>
  <c r="R95" i="2"/>
  <c r="Q95" i="2"/>
  <c r="P95" i="2"/>
  <c r="O95" i="2"/>
  <c r="N95" i="2"/>
  <c r="L95" i="2"/>
  <c r="K95" i="2"/>
  <c r="J95" i="2"/>
  <c r="I95" i="2"/>
  <c r="H95" i="2"/>
  <c r="G95" i="2"/>
  <c r="C95" i="2"/>
  <c r="U94" i="2"/>
  <c r="U93" i="2" s="1"/>
  <c r="T93" i="2"/>
  <c r="S93" i="2"/>
  <c r="R93" i="2"/>
  <c r="Q93" i="2"/>
  <c r="P93" i="2"/>
  <c r="O93" i="2"/>
  <c r="N93" i="2"/>
  <c r="M93" i="2"/>
  <c r="L93" i="2"/>
  <c r="K93" i="2"/>
  <c r="J93" i="2"/>
  <c r="I93" i="2"/>
  <c r="H93" i="2"/>
  <c r="G93" i="2"/>
  <c r="C93" i="2"/>
  <c r="L91" i="2"/>
  <c r="I91" i="2"/>
  <c r="L90" i="2"/>
  <c r="U90" i="2" s="1"/>
  <c r="U89" i="2"/>
  <c r="U88" i="2"/>
  <c r="L87" i="2"/>
  <c r="U87" i="2" s="1"/>
  <c r="L86" i="2"/>
  <c r="T85" i="2"/>
  <c r="S85" i="2"/>
  <c r="R85" i="2"/>
  <c r="Q85" i="2"/>
  <c r="P85" i="2"/>
  <c r="O85" i="2"/>
  <c r="N85" i="2"/>
  <c r="M85" i="2"/>
  <c r="M82" i="2" s="1"/>
  <c r="K85" i="2"/>
  <c r="K82" i="2" s="1"/>
  <c r="J85" i="2"/>
  <c r="J82" i="2" s="1"/>
  <c r="H85" i="2"/>
  <c r="H82" i="2" s="1"/>
  <c r="G85" i="2"/>
  <c r="G82" i="2" s="1"/>
  <c r="C85" i="2"/>
  <c r="C82" i="2" s="1"/>
  <c r="L84" i="2"/>
  <c r="L83" i="2" s="1"/>
  <c r="T83" i="2"/>
  <c r="T82" i="2" s="1"/>
  <c r="S83" i="2"/>
  <c r="S82" i="2" s="1"/>
  <c r="R83" i="2"/>
  <c r="R82" i="2" s="1"/>
  <c r="Q83" i="2"/>
  <c r="P83" i="2"/>
  <c r="O83" i="2"/>
  <c r="N83" i="2"/>
  <c r="M83" i="2"/>
  <c r="K83" i="2"/>
  <c r="J83" i="2"/>
  <c r="I83" i="2"/>
  <c r="H83" i="2"/>
  <c r="G83" i="2"/>
  <c r="C83" i="2"/>
  <c r="L81" i="2"/>
  <c r="U81" i="2" s="1"/>
  <c r="U80" i="2" s="1"/>
  <c r="G81" i="2"/>
  <c r="G80" i="2" s="1"/>
  <c r="C81" i="2"/>
  <c r="C80" i="2" s="1"/>
  <c r="T80" i="2"/>
  <c r="S80" i="2"/>
  <c r="R80" i="2"/>
  <c r="Q80" i="2"/>
  <c r="P80" i="2"/>
  <c r="O80" i="2"/>
  <c r="N80" i="2"/>
  <c r="M80" i="2"/>
  <c r="K80" i="2"/>
  <c r="J80" i="2"/>
  <c r="I80" i="2"/>
  <c r="H80" i="2"/>
  <c r="L79" i="2"/>
  <c r="L78" i="2" s="1"/>
  <c r="T78" i="2"/>
  <c r="S78" i="2"/>
  <c r="R78" i="2"/>
  <c r="Q78" i="2"/>
  <c r="P78" i="2"/>
  <c r="O78" i="2"/>
  <c r="N78" i="2"/>
  <c r="M78" i="2"/>
  <c r="K78" i="2"/>
  <c r="K77" i="2" s="1"/>
  <c r="J78" i="2"/>
  <c r="J77" i="2" s="1"/>
  <c r="I78" i="2"/>
  <c r="I77" i="2" s="1"/>
  <c r="H78" i="2"/>
  <c r="H77" i="2" s="1"/>
  <c r="G78" i="2"/>
  <c r="C78" i="2"/>
  <c r="F77" i="2"/>
  <c r="L76" i="2"/>
  <c r="U76" i="2" s="1"/>
  <c r="U75" i="2" s="1"/>
  <c r="T75" i="2"/>
  <c r="S75" i="2"/>
  <c r="R75" i="2"/>
  <c r="Q75" i="2"/>
  <c r="P75" i="2"/>
  <c r="O75" i="2"/>
  <c r="N75" i="2"/>
  <c r="M75" i="2"/>
  <c r="K75" i="2"/>
  <c r="J75" i="2"/>
  <c r="I75" i="2"/>
  <c r="H75" i="2"/>
  <c r="G75" i="2"/>
  <c r="C75" i="2"/>
  <c r="L74" i="2"/>
  <c r="T73" i="2"/>
  <c r="S73" i="2"/>
  <c r="R73" i="2"/>
  <c r="Q73" i="2"/>
  <c r="P73" i="2"/>
  <c r="O73" i="2"/>
  <c r="N73" i="2"/>
  <c r="M73" i="2"/>
  <c r="K73" i="2"/>
  <c r="J73" i="2"/>
  <c r="I73" i="2"/>
  <c r="H73" i="2"/>
  <c r="G73" i="2"/>
  <c r="C73" i="2"/>
  <c r="L72" i="2"/>
  <c r="U72" i="2" s="1"/>
  <c r="U71" i="2" s="1"/>
  <c r="T71" i="2"/>
  <c r="S71" i="2"/>
  <c r="R71" i="2"/>
  <c r="Q71" i="2"/>
  <c r="P71" i="2"/>
  <c r="O71" i="2"/>
  <c r="N71" i="2"/>
  <c r="M71" i="2"/>
  <c r="L71" i="2"/>
  <c r="K71" i="2"/>
  <c r="J71" i="2"/>
  <c r="I71" i="2"/>
  <c r="H71" i="2"/>
  <c r="G71" i="2"/>
  <c r="C71" i="2"/>
  <c r="L70" i="2"/>
  <c r="U70" i="2" s="1"/>
  <c r="U69" i="2" s="1"/>
  <c r="T69" i="2"/>
  <c r="S69" i="2"/>
  <c r="S64" i="2" s="1"/>
  <c r="R69" i="2"/>
  <c r="Q69" i="2"/>
  <c r="P69" i="2"/>
  <c r="O69" i="2"/>
  <c r="N69" i="2"/>
  <c r="M69" i="2"/>
  <c r="K69" i="2"/>
  <c r="J69" i="2"/>
  <c r="I69" i="2"/>
  <c r="H69" i="2"/>
  <c r="G69" i="2"/>
  <c r="C69" i="2"/>
  <c r="L68" i="2"/>
  <c r="L67" i="2" s="1"/>
  <c r="T67" i="2"/>
  <c r="S67" i="2"/>
  <c r="R67" i="2"/>
  <c r="Q67" i="2"/>
  <c r="P67" i="2"/>
  <c r="O67" i="2"/>
  <c r="N67" i="2"/>
  <c r="M67" i="2"/>
  <c r="K67" i="2"/>
  <c r="J67" i="2"/>
  <c r="I67" i="2"/>
  <c r="H67" i="2"/>
  <c r="G67" i="2"/>
  <c r="C67" i="2"/>
  <c r="U66" i="2"/>
  <c r="U65" i="2" s="1"/>
  <c r="T65" i="2"/>
  <c r="S65" i="2"/>
  <c r="R65" i="2"/>
  <c r="Q65" i="2"/>
  <c r="P65" i="2"/>
  <c r="O65" i="2"/>
  <c r="N65" i="2"/>
  <c r="M65" i="2"/>
  <c r="L65" i="2"/>
  <c r="K65" i="2"/>
  <c r="J65" i="2"/>
  <c r="I65" i="2"/>
  <c r="H65" i="2"/>
  <c r="G65" i="2"/>
  <c r="C65" i="2"/>
  <c r="L63" i="2"/>
  <c r="U63" i="2" s="1"/>
  <c r="U62" i="2" s="1"/>
  <c r="T62" i="2"/>
  <c r="S62" i="2"/>
  <c r="R62" i="2"/>
  <c r="Q62" i="2"/>
  <c r="P62" i="2"/>
  <c r="O62" i="2"/>
  <c r="N62" i="2"/>
  <c r="M62" i="2"/>
  <c r="K62" i="2"/>
  <c r="J62" i="2"/>
  <c r="I62" i="2"/>
  <c r="H62" i="2"/>
  <c r="G62" i="2"/>
  <c r="C62" i="2"/>
  <c r="U61" i="2"/>
  <c r="U60" i="2" s="1"/>
  <c r="G61" i="2"/>
  <c r="G60" i="2" s="1"/>
  <c r="T60" i="2"/>
  <c r="S60" i="2"/>
  <c r="R60" i="2"/>
  <c r="Q60" i="2"/>
  <c r="Q57" i="2" s="1"/>
  <c r="P60" i="2"/>
  <c r="P57" i="2" s="1"/>
  <c r="O60" i="2"/>
  <c r="O57" i="2" s="1"/>
  <c r="N60" i="2"/>
  <c r="M60" i="2"/>
  <c r="L60" i="2"/>
  <c r="K60" i="2"/>
  <c r="J60" i="2"/>
  <c r="I60" i="2"/>
  <c r="H60" i="2"/>
  <c r="C60" i="2"/>
  <c r="L59" i="2"/>
  <c r="U59" i="2" s="1"/>
  <c r="U58" i="2" s="1"/>
  <c r="T58" i="2"/>
  <c r="S58" i="2"/>
  <c r="R58" i="2"/>
  <c r="Q58" i="2"/>
  <c r="P58" i="2"/>
  <c r="O58" i="2"/>
  <c r="N58" i="2"/>
  <c r="M58" i="2"/>
  <c r="L58" i="2"/>
  <c r="K58" i="2"/>
  <c r="J58" i="2"/>
  <c r="I58" i="2"/>
  <c r="H58" i="2"/>
  <c r="G58" i="2"/>
  <c r="C58" i="2"/>
  <c r="U56" i="2"/>
  <c r="U55" i="2" s="1"/>
  <c r="L56" i="2"/>
  <c r="T55" i="2"/>
  <c r="S55" i="2"/>
  <c r="R55" i="2"/>
  <c r="Q55" i="2"/>
  <c r="P55" i="2"/>
  <c r="O55" i="2"/>
  <c r="O52" i="2" s="1"/>
  <c r="N55" i="2"/>
  <c r="N52" i="2" s="1"/>
  <c r="M55" i="2"/>
  <c r="L55" i="2"/>
  <c r="K55" i="2"/>
  <c r="J55" i="2"/>
  <c r="I55" i="2"/>
  <c r="H55" i="2"/>
  <c r="G55" i="2"/>
  <c r="C55" i="2"/>
  <c r="Q54" i="2"/>
  <c r="Q53" i="2" s="1"/>
  <c r="Q52" i="2" s="1"/>
  <c r="L54" i="2"/>
  <c r="T53" i="2"/>
  <c r="T52" i="2" s="1"/>
  <c r="S53" i="2"/>
  <c r="S52" i="2" s="1"/>
  <c r="R53" i="2"/>
  <c r="R52" i="2" s="1"/>
  <c r="P53" i="2"/>
  <c r="O53" i="2"/>
  <c r="N53" i="2"/>
  <c r="M53" i="2"/>
  <c r="K53" i="2"/>
  <c r="J53" i="2"/>
  <c r="I53" i="2"/>
  <c r="H53" i="2"/>
  <c r="G53" i="2"/>
  <c r="C53" i="2"/>
  <c r="M52" i="2"/>
  <c r="L51" i="2"/>
  <c r="U51" i="2" s="1"/>
  <c r="U50" i="2" s="1"/>
  <c r="T50" i="2"/>
  <c r="S50" i="2"/>
  <c r="R50" i="2"/>
  <c r="Q50" i="2"/>
  <c r="P50" i="2"/>
  <c r="O50" i="2"/>
  <c r="N50" i="2"/>
  <c r="M50" i="2"/>
  <c r="L50" i="2"/>
  <c r="K50" i="2"/>
  <c r="J50" i="2"/>
  <c r="I50" i="2"/>
  <c r="H50" i="2"/>
  <c r="G50" i="2"/>
  <c r="C50" i="2"/>
  <c r="L49" i="2"/>
  <c r="U49" i="2" s="1"/>
  <c r="U48" i="2" s="1"/>
  <c r="T48" i="2"/>
  <c r="S48" i="2"/>
  <c r="R48" i="2"/>
  <c r="Q48" i="2"/>
  <c r="P48" i="2"/>
  <c r="O48" i="2"/>
  <c r="N48" i="2"/>
  <c r="M48" i="2"/>
  <c r="L48" i="2"/>
  <c r="K48" i="2"/>
  <c r="J48" i="2"/>
  <c r="I48" i="2"/>
  <c r="H48" i="2"/>
  <c r="G48" i="2"/>
  <c r="C48" i="2"/>
  <c r="Q47" i="2"/>
  <c r="Q46" i="2" s="1"/>
  <c r="L47" i="2"/>
  <c r="T46" i="2"/>
  <c r="S46" i="2"/>
  <c r="R46" i="2"/>
  <c r="P46" i="2"/>
  <c r="O46" i="2"/>
  <c r="N46" i="2"/>
  <c r="M46" i="2"/>
  <c r="L46" i="2"/>
  <c r="K46" i="2"/>
  <c r="J46" i="2"/>
  <c r="I46" i="2"/>
  <c r="H46" i="2"/>
  <c r="G46" i="2"/>
  <c r="C46" i="2"/>
  <c r="L45" i="2"/>
  <c r="L44" i="2" s="1"/>
  <c r="T44" i="2"/>
  <c r="S44" i="2"/>
  <c r="R44" i="2"/>
  <c r="Q44" i="2"/>
  <c r="P44" i="2"/>
  <c r="O44" i="2"/>
  <c r="N44" i="2"/>
  <c r="M44" i="2"/>
  <c r="K44" i="2"/>
  <c r="J44" i="2"/>
  <c r="I44" i="2"/>
  <c r="H44" i="2"/>
  <c r="G44" i="2"/>
  <c r="C44" i="2"/>
  <c r="L43" i="2"/>
  <c r="L42" i="2" s="1"/>
  <c r="G43" i="2"/>
  <c r="G42" i="2" s="1"/>
  <c r="T42" i="2"/>
  <c r="S42" i="2"/>
  <c r="R42" i="2"/>
  <c r="Q42" i="2"/>
  <c r="P42" i="2"/>
  <c r="O42" i="2"/>
  <c r="N42" i="2"/>
  <c r="M42" i="2"/>
  <c r="K42" i="2"/>
  <c r="J42" i="2"/>
  <c r="I42" i="2"/>
  <c r="H42" i="2"/>
  <c r="C42" i="2"/>
  <c r="F40" i="2"/>
  <c r="U39" i="2"/>
  <c r="G39" i="2"/>
  <c r="G36" i="2" s="1"/>
  <c r="U38" i="2"/>
  <c r="U37" i="2"/>
  <c r="T36" i="2"/>
  <c r="S36" i="2"/>
  <c r="R36" i="2"/>
  <c r="Q36" i="2"/>
  <c r="P36" i="2"/>
  <c r="O36" i="2"/>
  <c r="N36" i="2"/>
  <c r="C36" i="2"/>
  <c r="T35" i="2"/>
  <c r="S35" i="2"/>
  <c r="R35" i="2"/>
  <c r="Q35" i="2"/>
  <c r="P35" i="2"/>
  <c r="O35" i="2"/>
  <c r="N35" i="2"/>
  <c r="M35" i="2"/>
  <c r="L35" i="2"/>
  <c r="K35" i="2"/>
  <c r="J35" i="2"/>
  <c r="I35" i="2"/>
  <c r="H35" i="2"/>
  <c r="C35" i="2"/>
  <c r="L34" i="2"/>
  <c r="U34" i="2" s="1"/>
  <c r="U33" i="2"/>
  <c r="U32" i="2"/>
  <c r="T31" i="2"/>
  <c r="S31" i="2"/>
  <c r="R31" i="2"/>
  <c r="Q31" i="2"/>
  <c r="P31" i="2"/>
  <c r="O31" i="2"/>
  <c r="N31" i="2"/>
  <c r="M31" i="2"/>
  <c r="L31" i="2"/>
  <c r="K31" i="2"/>
  <c r="J31" i="2"/>
  <c r="I31" i="2"/>
  <c r="G31" i="2"/>
  <c r="C31" i="2"/>
  <c r="T30" i="2"/>
  <c r="S30" i="2"/>
  <c r="S11" i="2" s="1"/>
  <c r="R30" i="2"/>
  <c r="Q30" i="2"/>
  <c r="P30" i="2"/>
  <c r="O30" i="2"/>
  <c r="N30" i="2"/>
  <c r="M30" i="2"/>
  <c r="K30" i="2"/>
  <c r="J30" i="2"/>
  <c r="I30" i="2"/>
  <c r="H30" i="2"/>
  <c r="G30" i="2"/>
  <c r="C30" i="2"/>
  <c r="L29" i="2"/>
  <c r="U29" i="2" s="1"/>
  <c r="N28" i="2"/>
  <c r="N27" i="2" s="1"/>
  <c r="L28" i="2"/>
  <c r="L26" i="2" s="1"/>
  <c r="T27" i="2"/>
  <c r="S27" i="2"/>
  <c r="R27" i="2"/>
  <c r="Q27" i="2"/>
  <c r="P27" i="2"/>
  <c r="O27" i="2"/>
  <c r="M27" i="2"/>
  <c r="L27" i="2"/>
  <c r="K27" i="2"/>
  <c r="J27" i="2"/>
  <c r="I27" i="2"/>
  <c r="G27" i="2"/>
  <c r="C27" i="2"/>
  <c r="T26" i="2"/>
  <c r="S26" i="2"/>
  <c r="R26" i="2"/>
  <c r="Q26" i="2"/>
  <c r="P26" i="2"/>
  <c r="O26" i="2"/>
  <c r="M26" i="2"/>
  <c r="K26" i="2"/>
  <c r="J26" i="2"/>
  <c r="I26" i="2"/>
  <c r="H26" i="2"/>
  <c r="G26" i="2"/>
  <c r="C26" i="2"/>
  <c r="L25" i="2"/>
  <c r="U25" i="2" s="1"/>
  <c r="G25" i="2"/>
  <c r="L24" i="2"/>
  <c r="U24" i="2" s="1"/>
  <c r="L23" i="2"/>
  <c r="T22" i="2"/>
  <c r="S22" i="2"/>
  <c r="R22" i="2"/>
  <c r="Q22" i="2"/>
  <c r="P22" i="2"/>
  <c r="O22" i="2"/>
  <c r="N22" i="2"/>
  <c r="M22" i="2"/>
  <c r="K22" i="2"/>
  <c r="J22" i="2"/>
  <c r="I22" i="2"/>
  <c r="H22" i="2"/>
  <c r="C22" i="2"/>
  <c r="T21" i="2"/>
  <c r="S21" i="2"/>
  <c r="R21" i="2"/>
  <c r="Q21" i="2"/>
  <c r="P21" i="2"/>
  <c r="O21" i="2"/>
  <c r="N21" i="2"/>
  <c r="M21" i="2"/>
  <c r="K21" i="2"/>
  <c r="J21" i="2"/>
  <c r="I21" i="2"/>
  <c r="H21" i="2"/>
  <c r="C21" i="2"/>
  <c r="U20" i="2"/>
  <c r="L20" i="2"/>
  <c r="U19" i="2"/>
  <c r="L19" i="2"/>
  <c r="L18" i="2"/>
  <c r="U18" i="2" s="1"/>
  <c r="L17" i="2"/>
  <c r="U17" i="2" s="1"/>
  <c r="L16" i="2"/>
  <c r="U16" i="2" s="1"/>
  <c r="L15" i="2"/>
  <c r="U15" i="2" s="1"/>
  <c r="Q14" i="2"/>
  <c r="Q13" i="2" s="1"/>
  <c r="O14" i="2"/>
  <c r="O13" i="2" s="1"/>
  <c r="N14" i="2"/>
  <c r="M14" i="2"/>
  <c r="M12" i="2" s="1"/>
  <c r="L14" i="2"/>
  <c r="L12" i="2" s="1"/>
  <c r="K14" i="2"/>
  <c r="J14" i="2"/>
  <c r="I14" i="2"/>
  <c r="I12" i="2" s="1"/>
  <c r="H14" i="2"/>
  <c r="H13" i="2" s="1"/>
  <c r="G14" i="2"/>
  <c r="G13" i="2" s="1"/>
  <c r="T13" i="2"/>
  <c r="S13" i="2"/>
  <c r="R13" i="2"/>
  <c r="P13" i="2"/>
  <c r="I13" i="2"/>
  <c r="C13" i="2"/>
  <c r="T12" i="2"/>
  <c r="S12" i="2"/>
  <c r="R12" i="2"/>
  <c r="P12" i="2"/>
  <c r="F12" i="2"/>
  <c r="F11" i="2"/>
  <c r="D21" i="1"/>
  <c r="D15" i="1"/>
  <c r="M88" i="1" l="1"/>
  <c r="N213" i="2"/>
  <c r="O77" i="2"/>
  <c r="S57" i="2"/>
  <c r="Q228" i="2"/>
  <c r="K272" i="2"/>
  <c r="K271" i="2" s="1"/>
  <c r="K270" i="2" s="1"/>
  <c r="R77" i="2"/>
  <c r="R228" i="2"/>
  <c r="C52" i="2"/>
  <c r="S77" i="2"/>
  <c r="H133" i="2"/>
  <c r="I155" i="2"/>
  <c r="H12" i="2"/>
  <c r="G52" i="2"/>
  <c r="L62" i="2"/>
  <c r="L57" i="2" s="1"/>
  <c r="L75" i="2"/>
  <c r="T77" i="2"/>
  <c r="U100" i="2"/>
  <c r="U99" i="2" s="1"/>
  <c r="J155" i="2"/>
  <c r="K187" i="2"/>
  <c r="K166" i="2" s="1"/>
  <c r="T228" i="2"/>
  <c r="N272" i="2"/>
  <c r="N271" i="2" s="1"/>
  <c r="N270" i="2" s="1"/>
  <c r="O12" i="2"/>
  <c r="O11" i="2" s="1"/>
  <c r="L69" i="2"/>
  <c r="L103" i="2"/>
  <c r="L92" i="2" s="1"/>
  <c r="J133" i="2"/>
  <c r="M155" i="2"/>
  <c r="U159" i="2"/>
  <c r="U158" i="2" s="1"/>
  <c r="L187" i="2"/>
  <c r="O272" i="2"/>
  <c r="O271" i="2" s="1"/>
  <c r="O270" i="2" s="1"/>
  <c r="U47" i="2"/>
  <c r="U46" i="2" s="1"/>
  <c r="M77" i="2"/>
  <c r="R133" i="2"/>
  <c r="U279" i="2"/>
  <c r="U278" i="2" s="1"/>
  <c r="M239" i="2"/>
  <c r="C239" i="2"/>
  <c r="P167" i="2"/>
  <c r="P77" i="2"/>
  <c r="Q109" i="2"/>
  <c r="N155" i="2"/>
  <c r="L115" i="2"/>
  <c r="L114" i="2" s="1"/>
  <c r="O155" i="2"/>
  <c r="N187" i="2"/>
  <c r="O64" i="2"/>
  <c r="N82" i="2"/>
  <c r="L128" i="2"/>
  <c r="P155" i="2"/>
  <c r="T222" i="2"/>
  <c r="T221" i="2" s="1"/>
  <c r="R272" i="2"/>
  <c r="R271" i="2" s="1"/>
  <c r="R270" i="2" s="1"/>
  <c r="L30" i="2"/>
  <c r="U36" i="2"/>
  <c r="G64" i="2"/>
  <c r="P64" i="2"/>
  <c r="O82" i="2"/>
  <c r="U125" i="2"/>
  <c r="U124" i="2" s="1"/>
  <c r="U146" i="2"/>
  <c r="U145" i="2" s="1"/>
  <c r="H147" i="2"/>
  <c r="K167" i="2"/>
  <c r="P248" i="2"/>
  <c r="U239" i="2"/>
  <c r="N167" i="2"/>
  <c r="N77" i="2"/>
  <c r="U102" i="2"/>
  <c r="U101" i="2" s="1"/>
  <c r="S133" i="2"/>
  <c r="R57" i="2"/>
  <c r="Q147" i="2"/>
  <c r="T57" i="2"/>
  <c r="U282" i="2"/>
  <c r="U281" i="2" s="1"/>
  <c r="R147" i="2"/>
  <c r="J207" i="2"/>
  <c r="J206" i="2" s="1"/>
  <c r="P228" i="2"/>
  <c r="P227" i="2" s="1"/>
  <c r="J272" i="2"/>
  <c r="J271" i="2" s="1"/>
  <c r="J270" i="2" s="1"/>
  <c r="H64" i="2"/>
  <c r="P82" i="2"/>
  <c r="T92" i="2"/>
  <c r="H140" i="2"/>
  <c r="G167" i="2"/>
  <c r="L172" i="2"/>
  <c r="T207" i="2"/>
  <c r="T206" i="2" s="1"/>
  <c r="C222" i="2"/>
  <c r="C221" i="2" s="1"/>
  <c r="L80" i="2"/>
  <c r="L77" i="2" s="1"/>
  <c r="Q82" i="2"/>
  <c r="M95" i="2"/>
  <c r="I140" i="2"/>
  <c r="U207" i="2"/>
  <c r="U206" i="2" s="1"/>
  <c r="G222" i="2"/>
  <c r="G221" i="2" s="1"/>
  <c r="G213" i="2" s="1"/>
  <c r="R248" i="2"/>
  <c r="R238" i="2" s="1"/>
  <c r="R227" i="2" s="1"/>
  <c r="M207" i="2"/>
  <c r="M206" i="2" s="1"/>
  <c r="N41" i="2"/>
  <c r="C272" i="2"/>
  <c r="C271" i="2" s="1"/>
  <c r="C270" i="2" s="1"/>
  <c r="G272" i="2"/>
  <c r="G271" i="2" s="1"/>
  <c r="G270" i="2" s="1"/>
  <c r="P272" i="2"/>
  <c r="P271" i="2" s="1"/>
  <c r="P270" i="2" s="1"/>
  <c r="U267" i="2"/>
  <c r="U266" i="2" s="1"/>
  <c r="P238" i="2"/>
  <c r="G248" i="2"/>
  <c r="I248" i="2"/>
  <c r="J248" i="2"/>
  <c r="M248" i="2"/>
  <c r="U248" i="2"/>
  <c r="Q248" i="2"/>
  <c r="L239" i="2"/>
  <c r="R239" i="2"/>
  <c r="N239" i="2"/>
  <c r="G228" i="2"/>
  <c r="U228" i="2"/>
  <c r="I228" i="2"/>
  <c r="H228" i="2"/>
  <c r="S228" i="2"/>
  <c r="L228" i="2"/>
  <c r="H222" i="2"/>
  <c r="H221" i="2" s="1"/>
  <c r="C213" i="2"/>
  <c r="M222" i="2"/>
  <c r="M221" i="2" s="1"/>
  <c r="S222" i="2"/>
  <c r="S221" i="2" s="1"/>
  <c r="U214" i="2"/>
  <c r="S214" i="2"/>
  <c r="S213" i="2" s="1"/>
  <c r="T214" i="2"/>
  <c r="J214" i="2"/>
  <c r="H214" i="2"/>
  <c r="H213" i="2" s="1"/>
  <c r="K214" i="2"/>
  <c r="Q12" i="2"/>
  <c r="Q11" i="2" s="1"/>
  <c r="I11" i="2"/>
  <c r="U216" i="2"/>
  <c r="I207" i="2"/>
  <c r="I206" i="2" s="1"/>
  <c r="L207" i="2"/>
  <c r="L206" i="2" s="1"/>
  <c r="U203" i="2"/>
  <c r="T187" i="2"/>
  <c r="U187" i="2"/>
  <c r="J187" i="2"/>
  <c r="M187" i="2"/>
  <c r="S187" i="2"/>
  <c r="C182" i="2"/>
  <c r="G182" i="2"/>
  <c r="J166" i="2"/>
  <c r="T167" i="2"/>
  <c r="U167" i="2"/>
  <c r="L167" i="2"/>
  <c r="M167" i="2"/>
  <c r="M166" i="2" s="1"/>
  <c r="L155" i="2"/>
  <c r="S155" i="2"/>
  <c r="P147" i="2"/>
  <c r="S140" i="2"/>
  <c r="T140" i="2"/>
  <c r="C140" i="2"/>
  <c r="G133" i="2"/>
  <c r="I133" i="2"/>
  <c r="N133" i="2"/>
  <c r="C133" i="2"/>
  <c r="P133" i="2"/>
  <c r="M121" i="2"/>
  <c r="N121" i="2"/>
  <c r="P121" i="2"/>
  <c r="Q121" i="2"/>
  <c r="K121" i="2"/>
  <c r="R121" i="2"/>
  <c r="G114" i="2"/>
  <c r="U114" i="2"/>
  <c r="P114" i="2"/>
  <c r="R114" i="2"/>
  <c r="I109" i="2"/>
  <c r="P109" i="2"/>
  <c r="N109" i="2"/>
  <c r="N108" i="2" s="1"/>
  <c r="T109" i="2"/>
  <c r="O109" i="2"/>
  <c r="U103" i="2"/>
  <c r="U92" i="2" s="1"/>
  <c r="M92" i="2"/>
  <c r="G92" i="2"/>
  <c r="H92" i="2"/>
  <c r="I92" i="2"/>
  <c r="Q77" i="2"/>
  <c r="Q64" i="2"/>
  <c r="N64" i="2"/>
  <c r="U57" i="2"/>
  <c r="J57" i="2"/>
  <c r="N57" i="2"/>
  <c r="H52" i="2"/>
  <c r="I52" i="2"/>
  <c r="P52" i="2"/>
  <c r="J52" i="2"/>
  <c r="K52" i="2"/>
  <c r="J41" i="2"/>
  <c r="Q41" i="2"/>
  <c r="R41" i="2"/>
  <c r="O41" i="2"/>
  <c r="T41" i="2"/>
  <c r="H41" i="2"/>
  <c r="K41" i="2"/>
  <c r="M41" i="2"/>
  <c r="U35" i="2"/>
  <c r="G35" i="2"/>
  <c r="U31" i="2"/>
  <c r="T11" i="2"/>
  <c r="C12" i="2"/>
  <c r="M11" i="2"/>
  <c r="R187" i="2"/>
  <c r="L238" i="2"/>
  <c r="N92" i="2"/>
  <c r="G22" i="2"/>
  <c r="G21" i="2"/>
  <c r="U157" i="2"/>
  <c r="U156" i="2" s="1"/>
  <c r="R64" i="2"/>
  <c r="N12" i="2"/>
  <c r="N13" i="2"/>
  <c r="L41" i="2"/>
  <c r="T64" i="2"/>
  <c r="Q162" i="2"/>
  <c r="Q155" i="2" s="1"/>
  <c r="U163" i="2"/>
  <c r="U162" i="2" s="1"/>
  <c r="P11" i="2"/>
  <c r="J92" i="2"/>
  <c r="O213" i="2"/>
  <c r="U265" i="2"/>
  <c r="U264" i="2" s="1"/>
  <c r="U263" i="2" s="1"/>
  <c r="J264" i="2"/>
  <c r="J263" i="2" s="1"/>
  <c r="R11" i="2"/>
  <c r="K92" i="2"/>
  <c r="Q92" i="2"/>
  <c r="P214" i="2"/>
  <c r="P213" i="2" s="1"/>
  <c r="U233" i="2"/>
  <c r="M214" i="2"/>
  <c r="M64" i="2"/>
  <c r="O92" i="2"/>
  <c r="L122" i="2"/>
  <c r="U123" i="2"/>
  <c r="U122" i="2" s="1"/>
  <c r="U121" i="2" s="1"/>
  <c r="I166" i="2"/>
  <c r="L73" i="2"/>
  <c r="U74" i="2"/>
  <c r="U73" i="2" s="1"/>
  <c r="U109" i="2"/>
  <c r="Q214" i="2"/>
  <c r="Q213" i="2" s="1"/>
  <c r="N228" i="2"/>
  <c r="U28" i="2"/>
  <c r="C114" i="2"/>
  <c r="C228" i="2"/>
  <c r="H272" i="2"/>
  <c r="H271" i="2" s="1"/>
  <c r="H270" i="2" s="1"/>
  <c r="N26" i="2"/>
  <c r="H155" i="2"/>
  <c r="P92" i="2"/>
  <c r="K57" i="2"/>
  <c r="T238" i="2"/>
  <c r="M13" i="2"/>
  <c r="L13" i="2"/>
  <c r="L85" i="2"/>
  <c r="L82" i="2" s="1"/>
  <c r="I121" i="2"/>
  <c r="L138" i="2"/>
  <c r="L133" i="2" s="1"/>
  <c r="U139" i="2"/>
  <c r="U138" i="2" s="1"/>
  <c r="U140" i="2"/>
  <c r="I147" i="2"/>
  <c r="P187" i="2"/>
  <c r="P166" i="2" s="1"/>
  <c r="C238" i="2"/>
  <c r="I41" i="2"/>
  <c r="M57" i="2"/>
  <c r="U86" i="2"/>
  <c r="J121" i="2"/>
  <c r="Q187" i="2"/>
  <c r="H207" i="2"/>
  <c r="H206" i="2" s="1"/>
  <c r="G239" i="2"/>
  <c r="M238" i="2"/>
  <c r="U30" i="2"/>
  <c r="G57" i="2"/>
  <c r="K64" i="2"/>
  <c r="O121" i="2"/>
  <c r="U196" i="2"/>
  <c r="P41" i="2"/>
  <c r="M133" i="2"/>
  <c r="J147" i="2"/>
  <c r="J228" i="2"/>
  <c r="U45" i="2"/>
  <c r="U44" i="2" s="1"/>
  <c r="U79" i="2"/>
  <c r="U78" i="2" s="1"/>
  <c r="U77" i="2" s="1"/>
  <c r="U84" i="2"/>
  <c r="U83" i="2" s="1"/>
  <c r="H114" i="2"/>
  <c r="L174" i="2"/>
  <c r="K228" i="2"/>
  <c r="U91" i="2"/>
  <c r="I85" i="2"/>
  <c r="I82" i="2" s="1"/>
  <c r="I114" i="2"/>
  <c r="O133" i="2"/>
  <c r="S41" i="2"/>
  <c r="S40" i="2" s="1"/>
  <c r="J114" i="2"/>
  <c r="U137" i="2"/>
  <c r="U136" i="2" s="1"/>
  <c r="U133" i="2" s="1"/>
  <c r="M174" i="2"/>
  <c r="R222" i="2"/>
  <c r="R221" i="2" s="1"/>
  <c r="R213" i="2" s="1"/>
  <c r="S239" i="2"/>
  <c r="S238" i="2" s="1"/>
  <c r="Q272" i="2"/>
  <c r="Q271" i="2" s="1"/>
  <c r="C109" i="2"/>
  <c r="K114" i="2"/>
  <c r="N174" i="2"/>
  <c r="M228" i="2"/>
  <c r="N248" i="2"/>
  <c r="C64" i="2"/>
  <c r="G109" i="2"/>
  <c r="O174" i="2"/>
  <c r="O248" i="2"/>
  <c r="O238" i="2" s="1"/>
  <c r="O227" i="2" s="1"/>
  <c r="S272" i="2"/>
  <c r="S271" i="2" s="1"/>
  <c r="G41" i="2"/>
  <c r="H238" i="2"/>
  <c r="T272" i="2"/>
  <c r="T271" i="2" s="1"/>
  <c r="T270" i="2" s="1"/>
  <c r="L21" i="2"/>
  <c r="L11" i="2" s="1"/>
  <c r="L22" i="2"/>
  <c r="H57" i="2"/>
  <c r="C121" i="2"/>
  <c r="T133" i="2"/>
  <c r="U272" i="2"/>
  <c r="U271" i="2" s="1"/>
  <c r="U270" i="2" s="1"/>
  <c r="U23" i="2"/>
  <c r="U54" i="2"/>
  <c r="U53" i="2" s="1"/>
  <c r="U52" i="2" s="1"/>
  <c r="L53" i="2"/>
  <c r="L52" i="2" s="1"/>
  <c r="I57" i="2"/>
  <c r="C77" i="2"/>
  <c r="G77" i="2" s="1"/>
  <c r="G121" i="2"/>
  <c r="U132" i="2"/>
  <c r="U131" i="2" s="1"/>
  <c r="U130" i="2" s="1"/>
  <c r="O167" i="2"/>
  <c r="U224" i="2"/>
  <c r="U223" i="2" s="1"/>
  <c r="U222" i="2" s="1"/>
  <c r="U221" i="2" s="1"/>
  <c r="K12" i="2"/>
  <c r="K11" i="2" s="1"/>
  <c r="K13" i="2"/>
  <c r="C92" i="2"/>
  <c r="S92" i="2"/>
  <c r="H121" i="2"/>
  <c r="S147" i="2"/>
  <c r="K155" i="2"/>
  <c r="S207" i="2"/>
  <c r="S206" i="2" s="1"/>
  <c r="U14" i="2"/>
  <c r="C57" i="2"/>
  <c r="R92" i="2"/>
  <c r="L214" i="2"/>
  <c r="L213" i="2" s="1"/>
  <c r="S121" i="2"/>
  <c r="Q167" i="2"/>
  <c r="I239" i="2"/>
  <c r="I64" i="2"/>
  <c r="T121" i="2"/>
  <c r="R167" i="2"/>
  <c r="J239" i="2"/>
  <c r="U43" i="2"/>
  <c r="U42" i="2" s="1"/>
  <c r="J64" i="2"/>
  <c r="M109" i="2"/>
  <c r="S167" i="2"/>
  <c r="K239" i="2"/>
  <c r="K238" i="2" s="1"/>
  <c r="Q239" i="2"/>
  <c r="Q238" i="2" s="1"/>
  <c r="Q227" i="2" s="1"/>
  <c r="I272" i="2"/>
  <c r="I271" i="2" s="1"/>
  <c r="I270" i="2" s="1"/>
  <c r="Q114" i="2"/>
  <c r="L272" i="2"/>
  <c r="L271" i="2" s="1"/>
  <c r="L270" i="2" s="1"/>
  <c r="R109" i="2"/>
  <c r="I222" i="2"/>
  <c r="I221" i="2" s="1"/>
  <c r="I213" i="2" s="1"/>
  <c r="M272" i="2"/>
  <c r="M271" i="2" s="1"/>
  <c r="M270" i="2" s="1"/>
  <c r="C41" i="2"/>
  <c r="S109" i="2"/>
  <c r="P140" i="2"/>
  <c r="Q140" i="2"/>
  <c r="U149" i="2"/>
  <c r="U148" i="2" s="1"/>
  <c r="U147" i="2" s="1"/>
  <c r="K148" i="2"/>
  <c r="K147" i="2" s="1"/>
  <c r="R155" i="2"/>
  <c r="J12" i="2"/>
  <c r="J13" i="2"/>
  <c r="R140" i="2"/>
  <c r="H187" i="2"/>
  <c r="H166" i="2" s="1"/>
  <c r="K207" i="2"/>
  <c r="K206" i="2" s="1"/>
  <c r="C155" i="2"/>
  <c r="C187" i="2"/>
  <c r="K222" i="2"/>
  <c r="K221" i="2" s="1"/>
  <c r="J222" i="2"/>
  <c r="J221" i="2" s="1"/>
  <c r="U68" i="2"/>
  <c r="U67" i="2" s="1"/>
  <c r="G155" i="2"/>
  <c r="G187" i="2"/>
  <c r="H40" i="2" l="1"/>
  <c r="L64" i="2"/>
  <c r="L166" i="2"/>
  <c r="L121" i="2"/>
  <c r="S166" i="2"/>
  <c r="K213" i="2"/>
  <c r="N166" i="2"/>
  <c r="T213" i="2"/>
  <c r="G166" i="2"/>
  <c r="G12" i="2"/>
  <c r="J213" i="2"/>
  <c r="U213" i="2"/>
  <c r="T227" i="2"/>
  <c r="O108" i="2"/>
  <c r="U238" i="2"/>
  <c r="R166" i="2"/>
  <c r="N40" i="2"/>
  <c r="U227" i="2"/>
  <c r="J238" i="2"/>
  <c r="J227" i="2" s="1"/>
  <c r="G238" i="2"/>
  <c r="G227" i="2" s="1"/>
  <c r="I238" i="2"/>
  <c r="I227" i="2" s="1"/>
  <c r="N238" i="2"/>
  <c r="N227" i="2"/>
  <c r="S227" i="2"/>
  <c r="H227" i="2"/>
  <c r="L227" i="2"/>
  <c r="M213" i="2"/>
  <c r="J11" i="2"/>
  <c r="H11" i="2"/>
  <c r="U166" i="2"/>
  <c r="T166" i="2"/>
  <c r="C166" i="2"/>
  <c r="O166" i="2"/>
  <c r="H108" i="2"/>
  <c r="K108" i="2"/>
  <c r="J108" i="2"/>
  <c r="P108" i="2"/>
  <c r="Q108" i="2"/>
  <c r="L108" i="2"/>
  <c r="M108" i="2"/>
  <c r="I108" i="2"/>
  <c r="T108" i="2"/>
  <c r="O40" i="2"/>
  <c r="Q40" i="2"/>
  <c r="M40" i="2"/>
  <c r="R40" i="2"/>
  <c r="U64" i="2"/>
  <c r="G40" i="2"/>
  <c r="T40" i="2"/>
  <c r="K40" i="2"/>
  <c r="U41" i="2"/>
  <c r="K227" i="2"/>
  <c r="J40" i="2"/>
  <c r="Q166" i="2"/>
  <c r="U21" i="2"/>
  <c r="U22" i="2"/>
  <c r="L40" i="2"/>
  <c r="C108" i="2"/>
  <c r="U85" i="2"/>
  <c r="U82" i="2" s="1"/>
  <c r="S270" i="2"/>
  <c r="I40" i="2"/>
  <c r="G108" i="2"/>
  <c r="M227" i="2"/>
  <c r="P40" i="2"/>
  <c r="S108" i="2"/>
  <c r="Q270" i="2"/>
  <c r="C227" i="2"/>
  <c r="N11" i="2"/>
  <c r="N10" i="2" s="1"/>
  <c r="N9" i="2" s="1"/>
  <c r="C40" i="2"/>
  <c r="U13" i="2"/>
  <c r="U12" i="2"/>
  <c r="U155" i="2"/>
  <c r="U108" i="2" s="1"/>
  <c r="R108" i="2"/>
  <c r="U26" i="2"/>
  <c r="U27" i="2"/>
  <c r="L10" i="2" l="1"/>
  <c r="O10" i="2"/>
  <c r="O9" i="2" s="1"/>
  <c r="S10" i="2"/>
  <c r="S8" i="2"/>
  <c r="H10" i="2"/>
  <c r="H9" i="2" s="1"/>
  <c r="J10" i="2"/>
  <c r="J9" i="2" s="1"/>
  <c r="T10" i="2"/>
  <c r="T9" i="2" s="1"/>
  <c r="K10" i="2"/>
  <c r="K9" i="2" s="1"/>
  <c r="M10" i="2"/>
  <c r="M9" i="2" s="1"/>
  <c r="I10" i="2"/>
  <c r="I9" i="2" s="1"/>
  <c r="P298" i="2"/>
  <c r="C11" i="2"/>
  <c r="C8" i="2" s="1"/>
  <c r="C298" i="2" s="1"/>
  <c r="R10" i="2"/>
  <c r="G11" i="2"/>
  <c r="G8" i="2" s="1"/>
  <c r="G298" i="2" s="1"/>
  <c r="Q298" i="2"/>
  <c r="M298" i="2"/>
  <c r="M8" i="2" s="1"/>
  <c r="U40" i="2"/>
  <c r="L9" i="2"/>
  <c r="L298" i="2"/>
  <c r="L8" i="2" s="1"/>
  <c r="U11" i="2"/>
  <c r="O298" i="2"/>
  <c r="O8" i="2" s="1"/>
  <c r="Q10" i="2"/>
  <c r="P10" i="2"/>
  <c r="S298" i="2"/>
  <c r="N298" i="2"/>
  <c r="N8" i="2" s="1"/>
  <c r="P8" i="2" l="1"/>
  <c r="P9" i="2"/>
  <c r="Q8" i="2"/>
  <c r="Q9" i="2"/>
  <c r="H298" i="2"/>
  <c r="H8" i="2"/>
  <c r="J298" i="2"/>
  <c r="J8" i="2" s="1"/>
  <c r="U10" i="2"/>
  <c r="I298" i="2"/>
  <c r="I8" i="2" s="1"/>
  <c r="K298" i="2"/>
  <c r="K8" i="2" s="1"/>
  <c r="T298" i="2"/>
  <c r="T8" i="2" s="1"/>
  <c r="C10" i="2"/>
  <c r="C297" i="2"/>
  <c r="G10" i="2"/>
  <c r="U8" i="2" l="1"/>
  <c r="U298" i="2" s="1"/>
  <c r="D89" i="1" l="1"/>
  <c r="K89" i="1"/>
  <c r="K14" i="1" s="1"/>
  <c r="J89" i="1"/>
  <c r="I89" i="1"/>
  <c r="I14" i="1" s="1"/>
  <c r="G89" i="1"/>
  <c r="F89" i="1"/>
  <c r="E89" i="1"/>
  <c r="H90" i="1"/>
  <c r="P90" i="1" s="1"/>
  <c r="M108" i="1"/>
  <c r="L108" i="1"/>
  <c r="K108" i="1"/>
  <c r="J108" i="1"/>
  <c r="I108" i="1"/>
  <c r="H108" i="1"/>
  <c r="G108" i="1"/>
  <c r="F108" i="1"/>
  <c r="E108" i="1"/>
  <c r="D108" i="1"/>
  <c r="P108" i="1" s="1"/>
  <c r="L92" i="1"/>
  <c r="K92" i="1"/>
  <c r="J92" i="1"/>
  <c r="I92" i="1"/>
  <c r="I88" i="1" s="1"/>
  <c r="G92" i="1"/>
  <c r="F92" i="1"/>
  <c r="E92" i="1"/>
  <c r="B41" i="1"/>
  <c r="L95" i="1"/>
  <c r="K95" i="1"/>
  <c r="J95" i="1"/>
  <c r="I95" i="1"/>
  <c r="H95" i="1"/>
  <c r="G95" i="1"/>
  <c r="F95" i="1"/>
  <c r="E95" i="1"/>
  <c r="D95" i="1"/>
  <c r="P95" i="1" s="1"/>
  <c r="L106" i="1"/>
  <c r="K106" i="1"/>
  <c r="J106" i="1"/>
  <c r="I106" i="1"/>
  <c r="H106" i="1"/>
  <c r="G106" i="1"/>
  <c r="F106" i="1"/>
  <c r="E106" i="1"/>
  <c r="D106" i="1"/>
  <c r="P106" i="1" s="1"/>
  <c r="O104" i="1"/>
  <c r="M104" i="1"/>
  <c r="L104" i="1"/>
  <c r="K104" i="1"/>
  <c r="J104" i="1"/>
  <c r="I104" i="1"/>
  <c r="H104" i="1"/>
  <c r="G104" i="1"/>
  <c r="F104" i="1"/>
  <c r="E104" i="1"/>
  <c r="D104" i="1"/>
  <c r="M99" i="1"/>
  <c r="L99" i="1"/>
  <c r="K99" i="1"/>
  <c r="J99" i="1"/>
  <c r="I99" i="1"/>
  <c r="H99" i="1"/>
  <c r="G99" i="1"/>
  <c r="F99" i="1"/>
  <c r="E99" i="1"/>
  <c r="D99" i="1"/>
  <c r="P99" i="1" s="1"/>
  <c r="M14" i="1"/>
  <c r="C108" i="1"/>
  <c r="C106" i="1"/>
  <c r="C104" i="1"/>
  <c r="C99" i="1"/>
  <c r="C95" i="1"/>
  <c r="B108" i="1"/>
  <c r="B104" i="1"/>
  <c r="B106" i="1"/>
  <c r="B99" i="1"/>
  <c r="B95" i="1"/>
  <c r="C93" i="1"/>
  <c r="C92" i="1" s="1"/>
  <c r="H92" i="1"/>
  <c r="B92" i="1"/>
  <c r="B89" i="1"/>
  <c r="B88" i="1" s="1"/>
  <c r="C90" i="1"/>
  <c r="C91" i="1"/>
  <c r="O88" i="1"/>
  <c r="H31" i="1"/>
  <c r="G31" i="1"/>
  <c r="F31" i="1"/>
  <c r="M31" i="1"/>
  <c r="K31" i="1"/>
  <c r="I31" i="1"/>
  <c r="O79" i="1"/>
  <c r="M79" i="1"/>
  <c r="L79" i="1"/>
  <c r="K79" i="1"/>
  <c r="J79" i="1"/>
  <c r="I79" i="1"/>
  <c r="H79" i="1"/>
  <c r="G79" i="1"/>
  <c r="F79" i="1"/>
  <c r="E79" i="1"/>
  <c r="D79" i="1"/>
  <c r="C79" i="1"/>
  <c r="O75" i="1"/>
  <c r="M75" i="1"/>
  <c r="L75" i="1"/>
  <c r="K75" i="1"/>
  <c r="J75" i="1"/>
  <c r="I75" i="1"/>
  <c r="H75" i="1"/>
  <c r="G75" i="1"/>
  <c r="F75" i="1"/>
  <c r="E75" i="1"/>
  <c r="D75" i="1"/>
  <c r="C75" i="1"/>
  <c r="O72" i="1"/>
  <c r="M72" i="1"/>
  <c r="L72" i="1"/>
  <c r="K72" i="1"/>
  <c r="J72" i="1"/>
  <c r="I72" i="1"/>
  <c r="H72" i="1"/>
  <c r="G72" i="1"/>
  <c r="F72" i="1"/>
  <c r="E72" i="1"/>
  <c r="D72" i="1"/>
  <c r="C72" i="1"/>
  <c r="O67" i="1"/>
  <c r="M67" i="1"/>
  <c r="L67" i="1"/>
  <c r="K67" i="1"/>
  <c r="J67" i="1"/>
  <c r="I67" i="1"/>
  <c r="H67" i="1"/>
  <c r="G67" i="1"/>
  <c r="F67" i="1"/>
  <c r="E67" i="1"/>
  <c r="D67" i="1"/>
  <c r="P67" i="1" s="1"/>
  <c r="Q57" i="1"/>
  <c r="O57" i="1"/>
  <c r="M57" i="1"/>
  <c r="L57" i="1"/>
  <c r="K57" i="1"/>
  <c r="J57" i="1"/>
  <c r="I57" i="1"/>
  <c r="H57" i="1"/>
  <c r="G57" i="1"/>
  <c r="F57" i="1"/>
  <c r="E57" i="1"/>
  <c r="D57" i="1"/>
  <c r="O41" i="1"/>
  <c r="L41" i="1"/>
  <c r="K41" i="1"/>
  <c r="J41" i="1"/>
  <c r="I41" i="1"/>
  <c r="H41" i="1"/>
  <c r="G41" i="1"/>
  <c r="F41" i="1"/>
  <c r="D41" i="1"/>
  <c r="P41" i="1" s="1"/>
  <c r="O31" i="1"/>
  <c r="L31" i="1"/>
  <c r="J31" i="1"/>
  <c r="E31" i="1"/>
  <c r="D31" i="1"/>
  <c r="P31" i="1" s="1"/>
  <c r="O21" i="1"/>
  <c r="M21" i="1"/>
  <c r="L21" i="1"/>
  <c r="K21" i="1"/>
  <c r="J21" i="1"/>
  <c r="I21" i="1"/>
  <c r="H21" i="1"/>
  <c r="G21" i="1"/>
  <c r="F21" i="1"/>
  <c r="O15" i="1"/>
  <c r="H15" i="1"/>
  <c r="G15" i="1"/>
  <c r="B57" i="1"/>
  <c r="C21" i="1"/>
  <c r="C68" i="1"/>
  <c r="C67" i="1" s="1"/>
  <c r="C66" i="1"/>
  <c r="C65" i="1"/>
  <c r="C64" i="1"/>
  <c r="C63" i="1"/>
  <c r="C62" i="1"/>
  <c r="C61" i="1"/>
  <c r="C60" i="1"/>
  <c r="C59" i="1"/>
  <c r="C58" i="1"/>
  <c r="C56" i="1"/>
  <c r="C55" i="1"/>
  <c r="C54" i="1"/>
  <c r="C53" i="1"/>
  <c r="C52" i="1"/>
  <c r="C51" i="1"/>
  <c r="C40" i="1"/>
  <c r="C39" i="1"/>
  <c r="C38" i="1"/>
  <c r="C37" i="1"/>
  <c r="C36" i="1"/>
  <c r="C35" i="1"/>
  <c r="C34" i="1"/>
  <c r="C33" i="1"/>
  <c r="C15" i="1"/>
  <c r="B50" i="1"/>
  <c r="C50" i="1" s="1"/>
  <c r="B67" i="1"/>
  <c r="B72" i="1"/>
  <c r="B75" i="1"/>
  <c r="B79" i="1"/>
  <c r="B31" i="1"/>
  <c r="B21" i="1"/>
  <c r="B15" i="1"/>
  <c r="B14" i="1" s="1"/>
  <c r="G14" i="1" l="1"/>
  <c r="C94" i="1"/>
  <c r="P75" i="1"/>
  <c r="B94" i="1"/>
  <c r="G88" i="1"/>
  <c r="M94" i="1"/>
  <c r="P104" i="1"/>
  <c r="P72" i="1"/>
  <c r="P21" i="1"/>
  <c r="I13" i="1"/>
  <c r="J88" i="1"/>
  <c r="J14" i="1"/>
  <c r="J13" i="1" s="1"/>
  <c r="M112" i="1"/>
  <c r="M13" i="1"/>
  <c r="C89" i="1"/>
  <c r="C88" i="1" s="1"/>
  <c r="B112" i="1"/>
  <c r="G13" i="1"/>
  <c r="P57" i="1"/>
  <c r="P79" i="1"/>
  <c r="H89" i="1"/>
  <c r="H112" i="1" s="1"/>
  <c r="B13" i="1"/>
  <c r="P92" i="1"/>
  <c r="I112" i="1"/>
  <c r="P89" i="1"/>
  <c r="D14" i="1"/>
  <c r="P15" i="1"/>
  <c r="L88" i="1"/>
  <c r="K13" i="1"/>
  <c r="L14" i="1"/>
  <c r="L13" i="1" s="1"/>
  <c r="I94" i="1"/>
  <c r="F88" i="1"/>
  <c r="F14" i="1"/>
  <c r="F13" i="1" s="1"/>
  <c r="F94" i="1"/>
  <c r="K94" i="1"/>
  <c r="K112" i="1" s="1"/>
  <c r="D94" i="1"/>
  <c r="J94" i="1"/>
  <c r="J112" i="1" s="1"/>
  <c r="E88" i="1"/>
  <c r="E14" i="1"/>
  <c r="E13" i="1" s="1"/>
  <c r="O13" i="1"/>
  <c r="D112" i="1"/>
  <c r="H94" i="1"/>
  <c r="L94" i="1"/>
  <c r="L112" i="1" s="1"/>
  <c r="K88" i="1"/>
  <c r="E94" i="1"/>
  <c r="G94" i="1"/>
  <c r="G112" i="1" s="1"/>
  <c r="D88" i="1"/>
  <c r="C41" i="1"/>
  <c r="O112" i="1"/>
  <c r="C31" i="1"/>
  <c r="C57" i="1"/>
  <c r="P112" i="1" l="1"/>
  <c r="D13" i="1"/>
  <c r="H14" i="1"/>
  <c r="P14" i="1" s="1"/>
  <c r="P94" i="1"/>
  <c r="C13" i="1"/>
  <c r="C14" i="1"/>
  <c r="E112" i="1"/>
  <c r="H13" i="1"/>
  <c r="P13" i="1" s="1"/>
  <c r="C112" i="1"/>
  <c r="P88" i="1"/>
  <c r="F112" i="1"/>
</calcChain>
</file>

<file path=xl/sharedStrings.xml><?xml version="1.0" encoding="utf-8"?>
<sst xmlns="http://schemas.openxmlformats.org/spreadsheetml/2006/main" count="497" uniqueCount="412">
  <si>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</si>
  <si>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</si>
  <si>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</si>
  <si>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</si>
  <si>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</si>
  <si>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</si>
  <si>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</si>
  <si>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</si>
  <si>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</si>
  <si>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</si>
  <si>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</si>
  <si>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</si>
  <si>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</si>
  <si>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</si>
  <si>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</si>
  <si>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</si>
  <si>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</si>
  <si>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</si>
  <si>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</si>
  <si>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</si>
  <si>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</si>
  <si>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</si>
  <si>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</si>
  <si>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</si>
  <si>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</si>
  <si>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</si>
  <si>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</si>
  <si>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</si>
  <si>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</si>
  <si>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</si>
  <si>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</si>
  <si>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</si>
  <si>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</si>
  <si>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</si>
  <si>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</si>
  <si>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</si>
  <si>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</si>
  <si>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</si>
  <si>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</si>
  <si>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</si>
  <si>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</si>
  <si>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</si>
  <si>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</si>
  <si>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</si>
  <si>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</si>
  <si>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</si>
  <si>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</si>
  <si>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</si>
  <si>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</si>
  <si>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</si>
  <si>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</si>
  <si>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</si>
  <si>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</si>
  <si>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</si>
  <si>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</si>
  <si>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</si>
  <si>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</si>
  <si>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</si>
  <si>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</si>
  <si>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</si>
  <si>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</si>
  <si>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</si>
  <si>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</si>
  <si>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</si>
  <si>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</si>
  <si>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</si>
  <si>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</si>
  <si>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</si>
  <si>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</si>
  <si>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</si>
  <si>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</si>
  <si>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</si>
  <si>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</si>
  <si>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</si>
  <si>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</si>
  <si>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</si>
  <si>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</si>
  <si>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</si>
  <si>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</si>
  <si>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</si>
  <si>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</si>
  <si>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</si>
  <si>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</si>
  <si>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</si>
  <si>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</si>
  <si>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</si>
  <si>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</si>
  <si>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</si>
  <si>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</si>
  <si>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</si>
  <si>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</si>
  <si>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</si>
  <si>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CAMARA DE DIÚTADOS DE LA REPUBLICA DOMINICANA</t>
  </si>
  <si>
    <t>Año 2025</t>
  </si>
  <si>
    <t>0001 - Dirección y Administración</t>
  </si>
  <si>
    <t>0002 - Discusión de iniciativas legislativas y fiscalización</t>
  </si>
  <si>
    <t>2.1.1 - REMUNERACIONES Y CONTRIBUCIONES</t>
  </si>
  <si>
    <t>0003 - Legislación parlacen</t>
  </si>
  <si>
    <t>CAMARA DE DIPUTADOS</t>
  </si>
  <si>
    <t>DE LA REPUBLICA DOMINICANA</t>
  </si>
  <si>
    <t>EJECUCION PRESUPUESTARIA</t>
  </si>
  <si>
    <t>AÑO 2025</t>
  </si>
  <si>
    <t>(VALORES EN RD$)</t>
  </si>
  <si>
    <t>DESCRIPCION</t>
  </si>
  <si>
    <t>PRESUPUESTO AÑO 2025</t>
  </si>
  <si>
    <t>MODIFICACION PRESUPUESTARIA</t>
  </si>
  <si>
    <t>PRESUPUESTO MODIFICADO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</si>
  <si>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</si>
  <si>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</si>
  <si>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</si>
  <si>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</si>
  <si>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</si>
  <si>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</si>
  <si>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</si>
  <si>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</si>
  <si>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</si>
  <si>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</si>
  <si>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</si>
  <si>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</si>
  <si>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EJECUCION ACUMULADA</t>
  </si>
  <si>
    <t>0102-CAMARA DE DIPUTADOS DE LA REPUBLICA DOMINICANA</t>
  </si>
  <si>
    <t>12 AVA PARTE</t>
  </si>
  <si>
    <t>TIPO/ OBJETO</t>
  </si>
  <si>
    <t>11-REPRESENTACION, FISCALIZACION Y GESTION LEGISLATIVA</t>
  </si>
  <si>
    <t>21-SERVICIOS PERSONALES</t>
  </si>
  <si>
    <t>2.1.- REMUNERACIONES</t>
  </si>
  <si>
    <t>2..1.1 - REMUNERACIONES AL PERSONAL FIJO</t>
  </si>
  <si>
    <t xml:space="preserve">   2.1.1.1.01 - Sueldos empleados fijos</t>
  </si>
  <si>
    <t>211101-SUELDOS FIJOS</t>
  </si>
  <si>
    <t xml:space="preserve">   2.1.1.2.06 - Jornales</t>
  </si>
  <si>
    <t>211206-JORNALES</t>
  </si>
  <si>
    <t xml:space="preserve">   2.1.1.2.09 - Personal de Carácter Eventual</t>
  </si>
  <si>
    <t>211209-PERSONAL  DE CARACTER EVENTUAL</t>
  </si>
  <si>
    <t xml:space="preserve">   2.1.1.3.01 - Sueldos al Personal Fijo en Trámite de Pensiones</t>
  </si>
  <si>
    <t>211301-SUELDOS AL PERSONAL FIJO EN TRÁMITE DE PENSIONES</t>
  </si>
  <si>
    <t xml:space="preserve">   2.1.1.4.01 - Sueldo Anual No. 13</t>
  </si>
  <si>
    <t xml:space="preserve">   2.1.1.5.01 - Prestaciones Económicas</t>
  </si>
  <si>
    <t>211501-PRESTACION LABORAL POR DESVICULACION</t>
  </si>
  <si>
    <t xml:space="preserve">   2.1.1.5.04 - Proporción de Vacaciones no Disfrutadas</t>
  </si>
  <si>
    <t>2.1.2.2 - COMPENSACIONES</t>
  </si>
  <si>
    <t xml:space="preserve">   2.1.2.2.05 - Compensación Servicios de Seguridad</t>
  </si>
  <si>
    <t>212205-COMPENSACION SERVICIOS DE SEGURIDAD</t>
  </si>
  <si>
    <t xml:space="preserve">   2.1.2.2.06 - Incentivo por Rendimiento Individual</t>
  </si>
  <si>
    <t xml:space="preserve">   2.1.2.2.09 - Bono por desempeño a Servidores de Carrera</t>
  </si>
  <si>
    <t>212209-BONO POR DESEMPEÑO</t>
  </si>
  <si>
    <t>2.1.3.1 -DIETAS</t>
  </si>
  <si>
    <t xml:space="preserve">   2.1.3.1.01 - Dietas en el País</t>
  </si>
  <si>
    <t>213101-DIETAS EN EL PAÍS</t>
  </si>
  <si>
    <t xml:space="preserve">   2.1.3.2.01 - Gastos de Representación en el País</t>
  </si>
  <si>
    <t>213201-GASTOS DE REPRESENTACION EN EL PAÍS</t>
  </si>
  <si>
    <t>2.1.4.1 -BONIFICACIONES</t>
  </si>
  <si>
    <t xml:space="preserve">   2.1.1.4.01 - Bonificaciones</t>
  </si>
  <si>
    <t xml:space="preserve">   2.1.4.2.01 - Bono Escolar</t>
  </si>
  <si>
    <t xml:space="preserve">   2.1.4.2.04 - Otras Gratificaciones</t>
  </si>
  <si>
    <t>215402-CONTRIBUCIONES AL PLAN DE RETIRO COMPLEMENTARIO LEGISLATIVO</t>
  </si>
  <si>
    <t>2.1.5.1 - CONTRIBUCIONES AL SEGURO DE SALUD</t>
  </si>
  <si>
    <t xml:space="preserve">   2.1.5.1.01 - Contribuciones al Seguro de Salud</t>
  </si>
  <si>
    <t xml:space="preserve">   2.1.5.2.01 - Contribuciones al Seguro de Pensiones</t>
  </si>
  <si>
    <t xml:space="preserve">   2.1.5.3.01 - Contribuciones al Seguro de Riesgo Laboral</t>
  </si>
  <si>
    <t>2.2- CONTRATACION DE SERVICIOS</t>
  </si>
  <si>
    <t>22-CONTRATACION DE SERVICIOS</t>
  </si>
  <si>
    <t>2.2.1.3 TELEFONO LOCAL</t>
  </si>
  <si>
    <t xml:space="preserve">   2.2.1.3.01 - Teléfono local</t>
  </si>
  <si>
    <t>221301-TELEFONO LOCAL</t>
  </si>
  <si>
    <t xml:space="preserve">   2.2.1.5.- Servicio de Internet y Televisión por Cable</t>
  </si>
  <si>
    <t xml:space="preserve">   2.2.1.5.01 - Servicio de Internet y Televisión por Cable</t>
  </si>
  <si>
    <t>221501-SERVICIO DE INTERNET Y TELEVISION POR CABLE</t>
  </si>
  <si>
    <t xml:space="preserve">   2.2.1.6.- Energía Eléctrica</t>
  </si>
  <si>
    <t xml:space="preserve">   2.2.1.6.01 - Energía Eléctrica</t>
  </si>
  <si>
    <t>221601-ENERGIA ELECTRICA</t>
  </si>
  <si>
    <t xml:space="preserve">   2.2.1.7.-Agua</t>
  </si>
  <si>
    <t xml:space="preserve">   2.2.1.7.01 - Agua</t>
  </si>
  <si>
    <t>221701-AGUA</t>
  </si>
  <si>
    <t xml:space="preserve">   2.2.1.8- Recolección de Residuos</t>
  </si>
  <si>
    <t xml:space="preserve">   2.2.1.8.01 - Recolección de Residuos</t>
  </si>
  <si>
    <t>221801-RECOLECCIÓN DE RESIDUOS SOLIDOS</t>
  </si>
  <si>
    <t>2.2.2.1 - PUBLICIDAD Y PROPAGANDA</t>
  </si>
  <si>
    <t xml:space="preserve">   2.2.2.1.01 - Publicidad y Propaganda</t>
  </si>
  <si>
    <t>222101-PUBLICIDAD Y PROPAGANDA</t>
  </si>
  <si>
    <t>2.2.2.2 - IMPRESIÓN Y ENCUADERNACION</t>
  </si>
  <si>
    <t xml:space="preserve">   2.2.2.2.01 - Impresión, Encuadernación y Rotulación</t>
  </si>
  <si>
    <t>222201-IMPRESIÓN Y ENCUADERNACIÓN</t>
  </si>
  <si>
    <t>2.2.4.1- PASAJE Y GASTOS DE TRAANSPORTE</t>
  </si>
  <si>
    <t xml:space="preserve">   2.2.4.1.01 - Pasajes y Gastos de Transporte</t>
  </si>
  <si>
    <t>2.2.4.2 FLETES</t>
  </si>
  <si>
    <t xml:space="preserve">   2.2.4.2.01 - Fletes</t>
  </si>
  <si>
    <t>224201-FLETES</t>
  </si>
  <si>
    <t>2.2.4.4 PEAJE</t>
  </si>
  <si>
    <t xml:space="preserve">   2.2.4.4.01 - Peaje</t>
  </si>
  <si>
    <t>2.2.5.1- ALQUILERES Y RENTA DE EIDIFCCIONES Y LOCALE</t>
  </si>
  <si>
    <t xml:space="preserve">   2.2.5.1.01 - Alquileres y Rentas de Edificaciones y Locales</t>
  </si>
  <si>
    <t>225101-ALQUILLERES Y RENTAS DE EDIFICIOS Y LOCALES</t>
  </si>
  <si>
    <t>2.2.5.3 - ALQUILERES DE EQUIPOS</t>
  </si>
  <si>
    <t xml:space="preserve">   2.2.5.3.01 - Alquiler de Equipo Educacional</t>
  </si>
  <si>
    <t>225301-ALQUILER DE EQUIPO EDUCACIONAL</t>
  </si>
  <si>
    <t>2.2.5.4 - ALQUILERES DE EQUIPOS DE TRANSPORTE, TRACCION Y ELEVACION</t>
  </si>
  <si>
    <t xml:space="preserve">   2.2.5.4.01 - Alquileres de Equipos de Transporte, Tracción y Elevación</t>
  </si>
  <si>
    <t>225401-ALQUILERES DE EQUIPOS DE TRANSPORTE, TRACCIÓN Y ELEVACIÓN</t>
  </si>
  <si>
    <t>2.2.5.6- ALQUILER DE TERRENOS</t>
  </si>
  <si>
    <t xml:space="preserve">   2.2.5.6.01 - Alquileres de Terrenos</t>
  </si>
  <si>
    <t>2.2.5.8 -OTROS ALQUIERES</t>
  </si>
  <si>
    <t xml:space="preserve">   2.2.5.8.01 - Otros alquileres y Arrendamientos por Derechos de Usos</t>
  </si>
  <si>
    <t>2.2.5.9- DERECHO DE USO</t>
  </si>
  <si>
    <t xml:space="preserve">   2.2.5.9.01 -  Licencias </t>
  </si>
  <si>
    <t>225901-LICENCIAS DE INFORMATICAS</t>
  </si>
  <si>
    <t>2.2.6.2 -SEGUROS BIENES MUEBLES</t>
  </si>
  <si>
    <t xml:space="preserve">   2.2.6.2.01 - Seguro de Bienes Muebles</t>
  </si>
  <si>
    <t>2.2.6.2-SEGUROS A PERSONAS</t>
  </si>
  <si>
    <t xml:space="preserve">   2.2.6.3.01 - Seguros de Personas</t>
  </si>
  <si>
    <t>226301-SEGUROS DE PERSONAS</t>
  </si>
  <si>
    <t>2.2.7.1 CONTRATACION DE MANTENIMIENTO Y REPARACIONES MENORES</t>
  </si>
  <si>
    <t xml:space="preserve">   2.2.7.1.01 - Reparaciones y Mantenimientos Menores en Edificaciones</t>
  </si>
  <si>
    <t>227101-OBRAS MENORES EN EDIFICACIONES</t>
  </si>
  <si>
    <t>2.2.7.2 MANTENIMIENTO Y REPARACION DE MAQUINARIAS Y EQUIPOS</t>
  </si>
  <si>
    <t xml:space="preserve">   2.2.7.2.01 - Mantenimiento y Reparación de Mobiliarios y equipos de oficina</t>
  </si>
  <si>
    <t>227201-MANTENIMIENTO Y REPARACIÓN DE MUEBLES Y EQUIPOS DE OFICINA</t>
  </si>
  <si>
    <t xml:space="preserve">   2.2.7.2.02 - Mantenimiento y Reparación de mobiliarios y Equipos </t>
  </si>
  <si>
    <t xml:space="preserve">   2.2.7.2.03 - Mantenimiento y Reparación de Equipo Educacionales y Recreación</t>
  </si>
  <si>
    <t xml:space="preserve">   2.2.7.2.05 - Mantenimiento y Reparación de equipo de comunicación y audiovisuales</t>
  </si>
  <si>
    <t xml:space="preserve">   2.2.7.2.06 - Mantenimiento y Reparación de Equipos de Transporte, Tracción y Elevación</t>
  </si>
  <si>
    <t>227206-MANTENIMIENTO Y REPARACIÓN DE EQUIPOS DE TRANSPORTE, TRACCIÓN Y ELEVACIÓN</t>
  </si>
  <si>
    <t xml:space="preserve">   2.2.7.2.99 - Otros servicios de Repracion y Mantenimiento,  Desmonte e Instalación</t>
  </si>
  <si>
    <t>2.2.8.1-GASTOS Y REPARACIONES JUDICIALES</t>
  </si>
  <si>
    <t xml:space="preserve">   2.2.8.1.01 - Gastos Judiciales</t>
  </si>
  <si>
    <t>2.2.8.2 COMISIONES Y GASTOS</t>
  </si>
  <si>
    <t xml:space="preserve">   2.2.8.2.01 - Comisiones y Gastos</t>
  </si>
  <si>
    <t>2.2.8.5 - FUMIGACION, LAVANDERIA, LIMPIEZA E HIGIENE</t>
  </si>
  <si>
    <t xml:space="preserve">   2.2.8.5.03 - Llimpieza e Higiene</t>
  </si>
  <si>
    <t>228502-LAVANDERIA</t>
  </si>
  <si>
    <t>2.2.8.6 -SERVICIO DE ORGANIACION DE EVENTOS FESTIVIDADES DE ENTRETENIMIENTO</t>
  </si>
  <si>
    <t xml:space="preserve">   2.2.8.6.01 - Eventos Generales</t>
  </si>
  <si>
    <t>228601-EVENTOS GENERALS</t>
  </si>
  <si>
    <t>2.2.8.7 - SERVICIOS TECNICOS Y PROFESIONALES</t>
  </si>
  <si>
    <t xml:space="preserve">   2.2.8.7.06 - Otros Servicios Técnicos Profesionales</t>
  </si>
  <si>
    <t>228706-OTROS SERVICIOS TÉCNICOS PROFESIONALES</t>
  </si>
  <si>
    <t>2.2.8.8 - IMPUESTOS, DERECHO Y TASAS</t>
  </si>
  <si>
    <t xml:space="preserve">   2.2.8.8.01 - Impuestos</t>
  </si>
  <si>
    <t>228801-IMPUESTOS</t>
  </si>
  <si>
    <t xml:space="preserve">   2.2.8.8.03 - Tasas</t>
  </si>
  <si>
    <t>2..8.8.9 DIFERENCIAS CAMBIARIAS</t>
  </si>
  <si>
    <t xml:space="preserve">   2.2.8.9.02 - DIferencia Cambiaria</t>
  </si>
  <si>
    <t>2.3- MATERIALES Y SUMINISTROS</t>
  </si>
  <si>
    <t>23-MATERIALES Y SUMINISTROS</t>
  </si>
  <si>
    <t>2.3.1.1 ALIMENTO Y BEBIDAS PARA PERSONAS</t>
  </si>
  <si>
    <t xml:space="preserve">   2.3.1.1.01 - Alimento y Bebidas para Personas</t>
  </si>
  <si>
    <t>231101-ALIMENTOS Y BEBIDAS PARA PERSONAS</t>
  </si>
  <si>
    <t>2.3.1.3 PRODUCTOS AGROFORETALES Y PECUARIOS</t>
  </si>
  <si>
    <t xml:space="preserve">   2.3.1.3.03 - Productos Forestales</t>
  </si>
  <si>
    <t>231303-PRODUCTOS FORESTALES</t>
  </si>
  <si>
    <t>2.3.2.1 HILOS FIBRAS Y TELAS</t>
  </si>
  <si>
    <t xml:space="preserve">   2.3.2.1.01 - Hilados y Telas</t>
  </si>
  <si>
    <t>232101-HILADOS Y TELAS</t>
  </si>
  <si>
    <t>2.3.2.3 ACABADOS TEXTILES</t>
  </si>
  <si>
    <t xml:space="preserve">   2.3.2.2.01 - Acabados Textiles</t>
  </si>
  <si>
    <t>232201-ACABADOS TEXTILES</t>
  </si>
  <si>
    <t>2.3.2.3 PRENDAS Y ACCESORIOS DE VESTIR</t>
  </si>
  <si>
    <t xml:space="preserve">   2.3.2.3.01 - Prendas y Accesorios de Vestir</t>
  </si>
  <si>
    <t>2.3.3 - PAPEL, CARTÓN E IMPRESOS</t>
  </si>
  <si>
    <t xml:space="preserve">   2.3.3.1- PAPEL DE ESCRITORIO</t>
  </si>
  <si>
    <t xml:space="preserve">   2.3.3.1.01 - Papel de Escritorio</t>
  </si>
  <si>
    <t>233101-PAPEL DE ESCRITORIO</t>
  </si>
  <si>
    <t>2.3.3.2 -PAPEL CARTON</t>
  </si>
  <si>
    <t xml:space="preserve">   2.3.3.2.01 - Papel y Cartón</t>
  </si>
  <si>
    <t>233201-PRODUCTOS DE PAPEL Y CARTÓN</t>
  </si>
  <si>
    <t>2.3.3.3 PRODUCTOS DE ARTES GRAFICASS</t>
  </si>
  <si>
    <t xml:space="preserve">   2.3.3.3.01 - Productos de Artes Gráficas</t>
  </si>
  <si>
    <t>233301-PRODUCTOS DE ARTES GRÁFICAS</t>
  </si>
  <si>
    <t>2.3.3.4-LIBROS PERIODICOS Y REVISTAS</t>
  </si>
  <si>
    <t xml:space="preserve">   2.3.3.4.01 - Libros, Revistas y Periódicos</t>
  </si>
  <si>
    <t>2.3.4 - PRODUCTOS MEDICINALES PARA USO HUMANO</t>
  </si>
  <si>
    <t>2.3.4.1-PRODUCTOS MEDICINALES PARA USO HUMANO</t>
  </si>
  <si>
    <t xml:space="preserve">   2.3.4.1.01- Productos Medicinales para uso Humano</t>
  </si>
  <si>
    <t>2.3.5 - CUERO, CAUCHO Y PLÁSTICO</t>
  </si>
  <si>
    <t>2.3.5.1 CUERO Y PIELES</t>
  </si>
  <si>
    <t xml:space="preserve">   2.3.5.1.01 - Cuero y pieles</t>
  </si>
  <si>
    <t>2.3.5.3 LLANTAS Y NEUMATICOS</t>
  </si>
  <si>
    <t xml:space="preserve">   2.3.5.3.01 - Llantas y Neumáticos</t>
  </si>
  <si>
    <t>2.3.5.5-PLASTICO</t>
  </si>
  <si>
    <t xml:space="preserve">   2.3.5.5.01 - Articulos de  Plástico</t>
  </si>
  <si>
    <t>235501-ARTÍCULOS DE PLASTICO</t>
  </si>
  <si>
    <t>2.3.6.1 PRODUCTOS CEMENTO CAL, ASBETSTO, YESO Y ARCILLA</t>
  </si>
  <si>
    <t xml:space="preserve">   2.3.6.1.05 - Productos de Arcilla y  Derivados</t>
  </si>
  <si>
    <t>2.3.6.2- PRODUCTOS DE VIDRIO, LOZA Y PORCELANA</t>
  </si>
  <si>
    <t xml:space="preserve">   2.3.6.2.01 - Productos de Vidrio</t>
  </si>
  <si>
    <t>236201-PRODUCTOS DE VIDRIO</t>
  </si>
  <si>
    <t>2.3.6.3-PRODUCTOS METAALICOS Y NO DERIVADOS</t>
  </si>
  <si>
    <t xml:space="preserve">   2.3.6.3.06 - Productos Metálicos</t>
  </si>
  <si>
    <t>236306-PRODUCTOS METALICOS</t>
  </si>
  <si>
    <t>2.3.7.1-COMBUSTIBLES Y LUBRICANTES</t>
  </si>
  <si>
    <t xml:space="preserve">   2.3.7.1.01 - Gasolina</t>
  </si>
  <si>
    <t>237101-GASOLINA</t>
  </si>
  <si>
    <t xml:space="preserve">   2.3.7.1.02 - Gasoil</t>
  </si>
  <si>
    <t xml:space="preserve">   2.3.7.1.06 -  Lubricantes</t>
  </si>
  <si>
    <t>2.3.7.2-PRODUTOS QUIMICOS Y CONEXOS</t>
  </si>
  <si>
    <t xml:space="preserve">   2.3.7.2.02 - Productos Fotoquimicos</t>
  </si>
  <si>
    <t>237202-PRODUCTOS FOTOQUIMICOS</t>
  </si>
  <si>
    <t xml:space="preserve">   2.3.7.2.06 - Pinturas, Lacas, Barnices, Diluyentes y Absorbentes para Pinturas</t>
  </si>
  <si>
    <t>2.3.9.1 UTILES Y MATERIALES DE LIMPIEZA E HIGIENE</t>
  </si>
  <si>
    <t xml:space="preserve">   2.3.9.1.02 - Materiales de limpieza e higiene personal</t>
  </si>
  <si>
    <t>239102-UTILES Y MATERIALES DE LIMPIEZA E HIGIENE PERSONAL</t>
  </si>
  <si>
    <t>2.3.9.2 UTILES Y MATERIALES DE ESCRITORIO, OFICINA INFORMATICA,  ESCOLARES Y DE ENSEÑANZA</t>
  </si>
  <si>
    <t xml:space="preserve">   2.3.9.2.01 - Útiles  y Materiales de Escritorio, Oficina e Informática</t>
  </si>
  <si>
    <t>239201-UTILES DE ESCRITORIO, OFICINA INFORMÁTICA Y DE ENSEÑANZA</t>
  </si>
  <si>
    <t xml:space="preserve">   2.3.9.5 -UTILES DE COCINA COMEDOR  </t>
  </si>
  <si>
    <t xml:space="preserve">   2.3.9.5.01 - Útiles de Cocina y Comedor</t>
  </si>
  <si>
    <t>239501-UTILES DE COCINA Y COMEDOR</t>
  </si>
  <si>
    <t>2.3.9.6 -PRODUCTOS ELECTRICOS Y AFINES</t>
  </si>
  <si>
    <t xml:space="preserve">   2.3.9.6.01 - Productos Eléctricos y Afines</t>
  </si>
  <si>
    <t>239601-PRODUCTOS ELÉCTRICOS Y AFINES</t>
  </si>
  <si>
    <t>3.3.9.9- PRODUCTOS Y UTILES VARIOS NO IDENTIFICADOS</t>
  </si>
  <si>
    <t xml:space="preserve">   2.3.9.9.05 - Productos y Utiles Diversos</t>
  </si>
  <si>
    <t>239905-PRODUCTOS Y UTILES VARIOS NIP</t>
  </si>
  <si>
    <t>2.6- BIENES MUEBLES, INMUEBLES E INTANGIBLES</t>
  </si>
  <si>
    <t>26-BIENES MUEBLES, INMUEBLES E INTANGIBLES</t>
  </si>
  <si>
    <t>2.6.1.1-MUEBLES, EQUIPOS DE OFICINAS  Y ESTANTERIAS</t>
  </si>
  <si>
    <t xml:space="preserve">   2.6.1.1.01 - Muebles, Equipos de Oficina y Estantería</t>
  </si>
  <si>
    <t>261101-MUEBLES DE OFICINA Y ESTANTERÍA</t>
  </si>
  <si>
    <t>2.6.1.3 -EQUIPOS DE TECNOLOGIA DE LA INFORMACION Y COMUNICACIÓN</t>
  </si>
  <si>
    <t xml:space="preserve">   2.6.1.3.01 - Equipos de tecnología de la información y comunicación</t>
  </si>
  <si>
    <t>2.6.1.4- ELECTRODOMESTICOS</t>
  </si>
  <si>
    <t xml:space="preserve">   2.6.1.4.01 - Electrodomésticos</t>
  </si>
  <si>
    <t>261401-OTROS MOBILIARIOS Y EQUIPOS NO IDENTIFICADOS PRECEDENTEMENTE</t>
  </si>
  <si>
    <t>2.6.2 - MOBILIARIO Y EQUIPO DE AUDIO, AUDIOVISUAL, RECREATIVO Y EDUCACIONAL</t>
  </si>
  <si>
    <t>2.6.2.1 -EQUIPOS Y APARATOS AUDIO, AUDIOVISUAL,  RECREATIVO EDUCACIONAL</t>
  </si>
  <si>
    <t xml:space="preserve">   2.6.2.1.01- Equipos y Aparatos Audiovisuales</t>
  </si>
  <si>
    <t>2.6.2.4-MOBILIARIO Y EQUIPO EDUCACIONAL Y RECREATIVO</t>
  </si>
  <si>
    <t xml:space="preserve">   2.6.2.4.01 - Mobiliario y Equipo Educacional y Recreativo</t>
  </si>
  <si>
    <t>2.6.3.1 - EQUIPO MEDICO Y DE LABORATORIO</t>
  </si>
  <si>
    <t xml:space="preserve">   2.6.3.1.01 - Equipo médico y de laboratorio</t>
  </si>
  <si>
    <t>2.6.4.1- AUTOMOVILES Y CAMIONES</t>
  </si>
  <si>
    <t xml:space="preserve">   2.6.4.1.01 - Automóviles y Camiones</t>
  </si>
  <si>
    <t>2.6.4.6 - EQUIPO DE TRACCION</t>
  </si>
  <si>
    <t xml:space="preserve">   2.6.4.6.01 - Equipo de Tracción</t>
  </si>
  <si>
    <t>2.6.5.4- SISTEMA Y EQUIPOS DE CLIMATIZACION</t>
  </si>
  <si>
    <t xml:space="preserve">   2.6.5.4.01 - Sistema  y equpos de Climatizacion</t>
  </si>
  <si>
    <t>2.6.5.4 -EQUPOS DE COMUNICACIÓN , TELECOMUNICACIONES Y SEÑALAMIENTO</t>
  </si>
  <si>
    <t xml:space="preserve">   2.6.5.5.01 - Equipo de Comunicación, Telecomunicaciones y Señalamiento</t>
  </si>
  <si>
    <t>2.6.5.6 - EQUIPO DE GENERACION ELECTRICA Y AFINES</t>
  </si>
  <si>
    <t xml:space="preserve">   2.6.5.6.01 - Equipo de Generación Eléctrica y Afines</t>
  </si>
  <si>
    <t>2.6.5.8-OTROS EQUIPOS</t>
  </si>
  <si>
    <t xml:space="preserve">   2.6.5.8.01 - Otros Equipos</t>
  </si>
  <si>
    <t>2.6.6.1 EQUPOS DE DEFENSA</t>
  </si>
  <si>
    <t xml:space="preserve">   2.6.6.1.01 - Equipos de Defensa</t>
  </si>
  <si>
    <t>2.6.8.3 PROGRAMA DE INFORMATICA Y BASE DE DATOS</t>
  </si>
  <si>
    <t xml:space="preserve">   2.6.8.3.01 - Programas de Informática</t>
  </si>
  <si>
    <t xml:space="preserve">   2.6.8.3.02 - Base de datos</t>
  </si>
  <si>
    <t xml:space="preserve">2.6.9. EDIFICIOS, ESTRUCOTIRAS, TIERRAS TERRENOS Y OBJETOS DE VALOR </t>
  </si>
  <si>
    <t xml:space="preserve">2.6.9.3 TERRENOS URBANOS </t>
  </si>
  <si>
    <t xml:space="preserve">   2.6.9.3.01 - Terrenos</t>
  </si>
  <si>
    <t>2.7 OBRAS</t>
  </si>
  <si>
    <t>27-OBRAS</t>
  </si>
  <si>
    <t>2.7.1.2 OBRAS PARA EDIFICACION NO RESIDENCIAL</t>
  </si>
  <si>
    <t xml:space="preserve">   2.7.1.2.01 - Obras para Edificación no Residencial</t>
  </si>
  <si>
    <t>2.7.2-INFRAESTRUCTURA</t>
  </si>
  <si>
    <t>2.7.2-OBRAS DE ENERGIA</t>
  </si>
  <si>
    <t>272201-OBRAS DE ENERGIA</t>
  </si>
  <si>
    <t xml:space="preserve">   2.7.2.2.01 - Obras de Energia</t>
  </si>
  <si>
    <t>2.2.2.1 - REMUNERACIONES AL PERSONAL FIJO</t>
  </si>
  <si>
    <t xml:space="preserve">   2.1.1.1.01 - Sueldos Empleados fijos</t>
  </si>
  <si>
    <t>2.1.5.4 CONTRIBUCION AL PLAN DE RETIRO COMPLEMENTARIO</t>
  </si>
  <si>
    <t xml:space="preserve">   2.1.5.4.02 - Contribuciones al Plan de Retiro   Complementario Legislativo y Organos Constitucionales</t>
  </si>
  <si>
    <t>2.2.2.1 VIATICOS DENTRO DEL PAIS</t>
  </si>
  <si>
    <t xml:space="preserve">   2.2.3.1.01 - Viáticos Dentro del País</t>
  </si>
  <si>
    <t>223101-VIATICOS DENTRO DEL PAIS</t>
  </si>
  <si>
    <t>2.2.3.2 VIATICOS FUERA DEL PAIS.</t>
  </si>
  <si>
    <t xml:space="preserve">   2.2.3.2.01 - Viaticos Fuera del País</t>
  </si>
  <si>
    <t>223201-VIATICOS FUERA DEL PAÍS</t>
  </si>
  <si>
    <t xml:space="preserve">    2.1.1.1.01 - Sueldos Empleados Fijos</t>
  </si>
  <si>
    <t>2.1.2.2 COMPENSACION</t>
  </si>
  <si>
    <t xml:space="preserve">    2.1.2.2.08 - Compensaciones Especiales</t>
  </si>
  <si>
    <t>2.1.5.2 CONTRIBUCION A LA SEGURIDAD SOCIAL</t>
  </si>
  <si>
    <t xml:space="preserve">   2.2.1.3.01 - Teléfono Local</t>
  </si>
  <si>
    <t>2.2.5.1-ALQUILES Y RENTAS DE EDIFICACIONES Y LOCALES</t>
  </si>
  <si>
    <t>2.2.8.6 SERVICIOS DE ORGANIZACIÓN DE EVENTOS</t>
  </si>
  <si>
    <t>2.3.7.1 COMDUSTIBLES Y LUBRICANTES, PRODUCTOS QUÍMICOS Y CONEXOS</t>
  </si>
  <si>
    <t>2.4.7. - TRANSFERECNIA CORRIENTE AL SECTOR ETERNO</t>
  </si>
  <si>
    <t xml:space="preserve">   2.4.7.2.01 - Transferencia corrientes a Organismos Internacionales</t>
  </si>
  <si>
    <t>2492-SUELDOS EN LAS TRANSFERENCIA A OTRAS INSTITUCIONES PUBLICAS</t>
  </si>
  <si>
    <t>2.61.1 - MUEBLES, EQUIPOS DE OFICINA Y ESTANTERIAS</t>
  </si>
  <si>
    <t>0000 - ADMINISTRACION Y CONTRIBUCIONES ESPECIALES</t>
  </si>
  <si>
    <t>24-TRANSFERENCIAS CORRIENTES</t>
  </si>
  <si>
    <t>2.4.1.1 PRESTACIONES</t>
  </si>
  <si>
    <t xml:space="preserve">    2.4.1.1.03 - Indemnización Laboral</t>
  </si>
  <si>
    <t>2.4.1.2 -AYUDAS Y DONACIONES A PERSONAS</t>
  </si>
  <si>
    <t xml:space="preserve">    2.4.1.2.01 - Ayudas y Donaciones Programadas a Hogares y Personas</t>
  </si>
  <si>
    <t>241201-AYUDAS Y DONACIONES PROGRAMADAS  A HOGARES Y PERSONAS</t>
  </si>
  <si>
    <t xml:space="preserve">    2.4.1.2.02 - Ayudas y Donaciones Ocasionales a Hogares y Personas</t>
  </si>
  <si>
    <t>241202-AYUDAS Y DONACIONES OCASIONALES A HOGARES Y PERSONAS</t>
  </si>
  <si>
    <t>2.4.1.4 BECAS Y VIAJES DE ESTUDIOS</t>
  </si>
  <si>
    <t xml:space="preserve">    2.4.1.4.01 - Becas Nacionales</t>
  </si>
  <si>
    <t>241401-BECAS NACIONALES</t>
  </si>
  <si>
    <t xml:space="preserve">    2.4.1.4.02 - Becas Extranjeras</t>
  </si>
  <si>
    <t>2.4.1.6-TRANSFERECNIA CORRIENTES A ASOCIACIONES SIN FINES DE LUCRO Y PARTIDOS POLITICOS</t>
  </si>
  <si>
    <t xml:space="preserve">    2.4.1.6.05 - Transferencia Corriente Sin Fines de Lucro</t>
  </si>
  <si>
    <t>241605-TRANSFERENCIAS CORRIENTES OCASIONALES  ASOCIACIONES SIN FINES DE LUCRO</t>
  </si>
  <si>
    <t>2.4.7 TRANSFERENCIAS AL SECTOR EXTERNO</t>
  </si>
  <si>
    <t>2.4.7.2 TRASNFERENCIAS AL SECTOR EXTERNO</t>
  </si>
  <si>
    <t xml:space="preserve">    2.4.7.2.01  - Transferencias a Organimos Internacionales</t>
  </si>
  <si>
    <t>2.4.7.2.01 - Transferencias corrientes a Organismos Internacionales</t>
  </si>
  <si>
    <t>2.4 Transferencia Corriente</t>
  </si>
  <si>
    <t>2. 4. 1.1.03-indemnizacion laboral</t>
  </si>
  <si>
    <t>2.4.1.6.05-Transferencia corriente sin fines de lucro</t>
  </si>
  <si>
    <t>98-</t>
  </si>
  <si>
    <t xml:space="preserve">    2.4.7.2.01 Transferencias a Organimos Internacionales</t>
  </si>
  <si>
    <t>2.4.9 TRANSFERENCIAS A OTRAS INSTITUCIONES</t>
  </si>
  <si>
    <t xml:space="preserve">    2.8.2.2.01 - Provision para Gastos Futuros</t>
  </si>
  <si>
    <t>TOTAL GENERAL</t>
  </si>
  <si>
    <t>2-GASTOS</t>
  </si>
  <si>
    <t>2.4.7 - TRANSFERENcIA CORRIENTE AL SECTOR ETERNO</t>
  </si>
  <si>
    <t>11-Representacion, Fiscalizacion y Gestion Legislativa</t>
  </si>
  <si>
    <t xml:space="preserve">Ejecución de Gasto y Aplicaciones Financieras 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</si>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</sst>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Calibri"/>
      <family val="2"/>
    </font>
    <font>
      <sz val="22"/>
      <color indexed="8"/>
      <name val="Calibri"/>
      <family val="2"/>
    </font>
    <font>
      <sz val="16"/>
      <color indexed="8"/>
      <name val="Calibri"/>
      <family val="2"/>
    </font>
    <font>
      <sz val="12"/>
      <color indexed="8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11"/>
      <color theme="0"/>
      <name val="Calibri"/>
      <family val="2"/>
    </font>
    <font>
      <b/>
      <sz val="11"/>
      <color indexed="8"/>
      <name val="Aptos Narrow"/>
      <family val="2"/>
      <scheme val="minor"/>
    </font>
    <font>
      <sz val="9"/>
      <color indexed="8"/>
      <name val="Calibri"/>
      <family val="2"/>
    </font>
    <font>
      <sz val="9"/>
      <color indexed="8"/>
      <name val="Aptos Narrow"/>
      <family val="2"/>
      <scheme val="minor"/>
    </font>
    <font>
      <sz val="11"/>
      <color indexed="8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4"/>
      <color theme="1"/>
      <name val="Amasis MT Pro Medium"/>
      <family val="1"/>
    </font>
    <font>
      <b/>
      <sz val="10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0"/>
      <name val="Arial"/>
      <family val="2"/>
    </font>
    <font>
      <sz val="1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0549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8EA9DB"/>
      </bottom>
      <diagonal/>
    </border>
    <border>
      <left/>
      <right style="thin">
        <color rgb="FFFFFFFF"/>
      </right>
      <top/>
      <bottom/>
      <diagonal/>
    </border>
    <border>
      <left/>
      <right/>
      <top style="thin">
        <color rgb="FF8EA9DB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2">
    <xf numFmtId="0" fontId="0" fillId="0" borderId="0" xfId="0"/>
    <xf numFmtId="0" fontId="2" fillId="0" borderId="0" xfId="0" applyFont="1"/>
    <xf numFmtId="0" fontId="6" fillId="2" borderId="2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left"/>
    </xf>
    <xf numFmtId="164" fontId="7" fillId="0" borderId="10" xfId="0" applyNumberFormat="1" applyFont="1" applyBorder="1"/>
    <xf numFmtId="0" fontId="7" fillId="0" borderId="0" xfId="0" applyFont="1" applyAlignment="1">
      <alignment horizontal="left" indent="1"/>
    </xf>
    <xf numFmtId="164" fontId="7" fillId="0" borderId="0" xfId="0" applyNumberFormat="1" applyFont="1"/>
    <xf numFmtId="0" fontId="2" fillId="0" borderId="0" xfId="0" applyFont="1" applyAlignment="1">
      <alignment horizontal="left" indent="2"/>
    </xf>
    <xf numFmtId="0" fontId="6" fillId="2" borderId="12" xfId="0" applyFont="1" applyFill="1" applyBorder="1" applyAlignment="1">
      <alignment vertical="center"/>
    </xf>
    <xf numFmtId="0" fontId="2" fillId="0" borderId="0" xfId="0" applyFont="1" applyAlignment="1">
      <alignment horizontal="left" wrapText="1" indent="2"/>
    </xf>
    <xf numFmtId="0" fontId="2" fillId="0" borderId="0" xfId="0" applyFont="1" applyAlignment="1">
      <alignment horizontal="left" vertical="center" wrapText="1" indent="2"/>
    </xf>
    <xf numFmtId="43" fontId="13" fillId="2" borderId="12" xfId="0" applyNumberFormat="1" applyFont="1" applyFill="1" applyBorder="1"/>
    <xf numFmtId="43" fontId="0" fillId="0" borderId="0" xfId="1" applyFont="1" applyBorder="1" applyAlignment="1"/>
    <xf numFmtId="43" fontId="2" fillId="0" borderId="0" xfId="0" applyNumberFormat="1" applyFont="1"/>
    <xf numFmtId="43" fontId="16" fillId="0" borderId="0" xfId="1" applyFont="1" applyFill="1" applyBorder="1" applyAlignment="1"/>
    <xf numFmtId="0" fontId="17" fillId="0" borderId="0" xfId="0" applyFont="1"/>
    <xf numFmtId="0" fontId="14" fillId="0" borderId="13" xfId="0" applyFont="1" applyBorder="1"/>
    <xf numFmtId="0" fontId="14" fillId="4" borderId="0" xfId="0" applyFont="1" applyFill="1"/>
    <xf numFmtId="0" fontId="14" fillId="0" borderId="0" xfId="0" applyFont="1"/>
    <xf numFmtId="0" fontId="17" fillId="0" borderId="0" xfId="0" applyFont="1" applyAlignment="1">
      <alignment wrapText="1"/>
    </xf>
    <xf numFmtId="0" fontId="14" fillId="0" borderId="0" xfId="0" applyFont="1" applyAlignment="1">
      <alignment horizontal="left"/>
    </xf>
    <xf numFmtId="0" fontId="17" fillId="3" borderId="0" xfId="0" applyFont="1" applyFill="1" applyAlignment="1">
      <alignment horizontal="left"/>
    </xf>
    <xf numFmtId="0" fontId="7" fillId="0" borderId="0" xfId="0" applyFont="1"/>
    <xf numFmtId="43" fontId="7" fillId="0" borderId="0" xfId="1" applyFont="1" applyFill="1" applyBorder="1" applyAlignment="1" applyProtection="1"/>
    <xf numFmtId="43" fontId="17" fillId="0" borderId="0" xfId="1" applyFont="1" applyBorder="1" applyAlignment="1"/>
    <xf numFmtId="43" fontId="8" fillId="0" borderId="0" xfId="1" applyFont="1" applyAlignment="1"/>
    <xf numFmtId="43" fontId="2" fillId="0" borderId="0" xfId="1" applyFont="1" applyFill="1" applyBorder="1" applyAlignment="1" applyProtection="1"/>
    <xf numFmtId="43" fontId="8" fillId="0" borderId="0" xfId="1" applyFont="1"/>
    <xf numFmtId="43" fontId="8" fillId="0" borderId="0" xfId="1" applyFont="1" applyAlignment="1">
      <alignment vertical="top"/>
    </xf>
    <xf numFmtId="43" fontId="17" fillId="0" borderId="0" xfId="1" applyFont="1" applyFill="1" applyBorder="1" applyAlignment="1"/>
    <xf numFmtId="43" fontId="9" fillId="0" borderId="0" xfId="1" applyFont="1" applyFill="1" applyBorder="1"/>
    <xf numFmtId="43" fontId="10" fillId="0" borderId="0" xfId="1" applyFont="1" applyFill="1" applyBorder="1"/>
    <xf numFmtId="43" fontId="15" fillId="0" borderId="0" xfId="1" applyFont="1" applyFill="1" applyBorder="1" applyAlignment="1" applyProtection="1"/>
    <xf numFmtId="43" fontId="2" fillId="0" borderId="11" xfId="1" applyFont="1" applyFill="1" applyBorder="1" applyAlignment="1" applyProtection="1"/>
    <xf numFmtId="43" fontId="2" fillId="0" borderId="3" xfId="1" applyFont="1" applyFill="1" applyBorder="1" applyAlignment="1" applyProtection="1"/>
    <xf numFmtId="43" fontId="11" fillId="0" borderId="0" xfId="1" applyFont="1" applyFill="1" applyBorder="1" applyAlignment="1" applyProtection="1"/>
    <xf numFmtId="43" fontId="12" fillId="0" borderId="0" xfId="1" applyFont="1" applyFill="1" applyBorder="1" applyAlignment="1" applyProtection="1"/>
    <xf numFmtId="43" fontId="0" fillId="0" borderId="0" xfId="1" applyFont="1" applyFill="1" applyBorder="1"/>
    <xf numFmtId="43" fontId="7" fillId="0" borderId="10" xfId="1" applyFont="1" applyFill="1" applyBorder="1" applyAlignment="1" applyProtection="1"/>
    <xf numFmtId="0" fontId="7" fillId="4" borderId="0" xfId="0" applyFont="1" applyFill="1" applyAlignment="1">
      <alignment horizontal="left"/>
    </xf>
    <xf numFmtId="164" fontId="2" fillId="0" borderId="0" xfId="0" applyNumberFormat="1" applyFont="1"/>
    <xf numFmtId="43" fontId="0" fillId="0" borderId="0" xfId="1" applyFont="1" applyAlignment="1"/>
    <xf numFmtId="0" fontId="20" fillId="4" borderId="13" xfId="0" applyFont="1" applyFill="1" applyBorder="1" applyAlignment="1">
      <alignment horizontal="center"/>
    </xf>
    <xf numFmtId="0" fontId="20" fillId="4" borderId="13" xfId="0" applyFont="1" applyFill="1" applyBorder="1" applyAlignment="1">
      <alignment horizontal="center" wrapText="1"/>
    </xf>
    <xf numFmtId="43" fontId="0" fillId="4" borderId="13" xfId="1" applyFont="1" applyFill="1" applyBorder="1" applyAlignment="1"/>
    <xf numFmtId="0" fontId="0" fillId="4" borderId="13" xfId="0" applyFill="1" applyBorder="1"/>
    <xf numFmtId="0" fontId="23" fillId="4" borderId="13" xfId="0" applyFont="1" applyFill="1" applyBorder="1" applyAlignment="1">
      <alignment horizontal="center" wrapText="1"/>
    </xf>
    <xf numFmtId="43" fontId="20" fillId="4" borderId="13" xfId="0" applyNumberFormat="1" applyFont="1" applyFill="1" applyBorder="1" applyAlignment="1">
      <alignment horizontal="center"/>
    </xf>
    <xf numFmtId="43" fontId="20" fillId="4" borderId="13" xfId="1" applyFont="1" applyFill="1" applyBorder="1" applyAlignment="1">
      <alignment horizontal="center"/>
    </xf>
    <xf numFmtId="0" fontId="20" fillId="4" borderId="15" xfId="0" applyFont="1" applyFill="1" applyBorder="1" applyAlignment="1">
      <alignment horizontal="center" wrapText="1"/>
    </xf>
    <xf numFmtId="0" fontId="18" fillId="0" borderId="0" xfId="0" applyFont="1"/>
    <xf numFmtId="43" fontId="0" fillId="0" borderId="0" xfId="0" applyNumberFormat="1"/>
    <xf numFmtId="0" fontId="20" fillId="5" borderId="0" xfId="0" applyFont="1" applyFill="1"/>
    <xf numFmtId="0" fontId="0" fillId="5" borderId="0" xfId="0" applyFill="1"/>
    <xf numFmtId="43" fontId="20" fillId="5" borderId="0" xfId="1" applyFont="1" applyFill="1" applyBorder="1" applyAlignment="1"/>
    <xf numFmtId="43" fontId="0" fillId="5" borderId="0" xfId="1" applyFont="1" applyFill="1" applyBorder="1" applyAlignment="1"/>
    <xf numFmtId="43" fontId="20" fillId="5" borderId="0" xfId="1" applyFont="1" applyFill="1" applyBorder="1" applyAlignment="1">
      <alignment horizontal="center"/>
    </xf>
    <xf numFmtId="43" fontId="24" fillId="0" borderId="0" xfId="1" applyFont="1" applyBorder="1" applyAlignment="1"/>
    <xf numFmtId="0" fontId="14" fillId="5" borderId="0" xfId="0" applyFont="1" applyFill="1"/>
    <xf numFmtId="0" fontId="20" fillId="4" borderId="14" xfId="0" applyFont="1" applyFill="1" applyBorder="1"/>
    <xf numFmtId="0" fontId="20" fillId="4" borderId="15" xfId="0" applyFont="1" applyFill="1" applyBorder="1"/>
    <xf numFmtId="43" fontId="20" fillId="4" borderId="13" xfId="1" applyFont="1" applyFill="1" applyBorder="1" applyAlignment="1"/>
    <xf numFmtId="43" fontId="14" fillId="4" borderId="13" xfId="1" applyFont="1" applyFill="1" applyBorder="1" applyAlignment="1"/>
    <xf numFmtId="4" fontId="17" fillId="0" borderId="0" xfId="0" applyNumberFormat="1" applyFont="1"/>
    <xf numFmtId="4" fontId="0" fillId="0" borderId="0" xfId="0" applyNumberFormat="1"/>
    <xf numFmtId="0" fontId="0" fillId="4" borderId="0" xfId="0" applyFill="1"/>
    <xf numFmtId="43" fontId="20" fillId="4" borderId="0" xfId="1" applyFont="1" applyFill="1" applyBorder="1" applyAlignment="1"/>
    <xf numFmtId="43" fontId="0" fillId="4" borderId="0" xfId="1" applyFont="1" applyFill="1" applyBorder="1" applyAlignment="1"/>
    <xf numFmtId="0" fontId="14" fillId="3" borderId="0" xfId="0" applyFont="1" applyFill="1"/>
    <xf numFmtId="43" fontId="20" fillId="3" borderId="0" xfId="1" applyFont="1" applyFill="1" applyBorder="1" applyAlignment="1"/>
    <xf numFmtId="4" fontId="17" fillId="3" borderId="0" xfId="0" applyNumberFormat="1" applyFont="1" applyFill="1"/>
    <xf numFmtId="4" fontId="8" fillId="3" borderId="0" xfId="0" applyNumberFormat="1" applyFont="1" applyFill="1"/>
    <xf numFmtId="4" fontId="8" fillId="0" borderId="0" xfId="0" applyNumberFormat="1" applyFont="1" applyAlignment="1">
      <alignment vertical="top"/>
    </xf>
    <xf numFmtId="4" fontId="8" fillId="0" borderId="0" xfId="0" applyNumberFormat="1" applyFont="1"/>
    <xf numFmtId="43" fontId="14" fillId="0" borderId="0" xfId="1" applyFont="1" applyFill="1" applyBorder="1" applyAlignment="1"/>
    <xf numFmtId="43" fontId="20" fillId="0" borderId="0" xfId="1" applyFont="1" applyBorder="1" applyAlignment="1"/>
    <xf numFmtId="43" fontId="14" fillId="0" borderId="0" xfId="1" applyFont="1" applyBorder="1" applyAlignment="1"/>
    <xf numFmtId="43" fontId="17" fillId="3" borderId="0" xfId="1" applyFont="1" applyFill="1" applyBorder="1" applyAlignment="1"/>
    <xf numFmtId="4" fontId="8" fillId="3" borderId="0" xfId="0" applyNumberFormat="1" applyFont="1" applyFill="1" applyAlignment="1">
      <alignment vertical="top"/>
    </xf>
    <xf numFmtId="43" fontId="25" fillId="0" borderId="0" xfId="1" applyFont="1" applyBorder="1" applyAlignment="1"/>
    <xf numFmtId="43" fontId="25" fillId="0" borderId="16" xfId="1" applyFont="1" applyBorder="1" applyAlignment="1"/>
    <xf numFmtId="4" fontId="8" fillId="0" borderId="16" xfId="0" applyNumberFormat="1" applyFont="1" applyBorder="1"/>
    <xf numFmtId="4" fontId="8" fillId="0" borderId="16" xfId="0" applyNumberFormat="1" applyFont="1" applyBorder="1" applyAlignment="1">
      <alignment vertical="top"/>
    </xf>
    <xf numFmtId="0" fontId="0" fillId="4" borderId="14" xfId="0" applyFill="1" applyBorder="1"/>
    <xf numFmtId="0" fontId="20" fillId="4" borderId="13" xfId="0" applyFont="1" applyFill="1" applyBorder="1"/>
    <xf numFmtId="43" fontId="20" fillId="4" borderId="16" xfId="1" applyFont="1" applyFill="1" applyBorder="1" applyAlignment="1"/>
    <xf numFmtId="0" fontId="20" fillId="0" borderId="0" xfId="0" applyFont="1"/>
    <xf numFmtId="43" fontId="20" fillId="0" borderId="0" xfId="1" applyFont="1" applyFill="1" applyBorder="1" applyAlignment="1"/>
    <xf numFmtId="43" fontId="8" fillId="0" borderId="0" xfId="1" applyFont="1" applyBorder="1" applyAlignment="1"/>
    <xf numFmtId="0" fontId="26" fillId="0" borderId="0" xfId="0" applyFont="1"/>
    <xf numFmtId="0" fontId="24" fillId="0" borderId="0" xfId="0" applyFont="1"/>
    <xf numFmtId="43" fontId="24" fillId="0" borderId="0" xfId="1" applyFont="1" applyFill="1" applyBorder="1" applyAlignment="1"/>
    <xf numFmtId="4" fontId="17" fillId="3" borderId="0" xfId="0" applyNumberFormat="1" applyFont="1" applyFill="1" applyAlignment="1">
      <alignment vertical="center"/>
    </xf>
    <xf numFmtId="43" fontId="0" fillId="0" borderId="0" xfId="1" applyFont="1" applyFill="1" applyBorder="1" applyAlignment="1"/>
    <xf numFmtId="43" fontId="17" fillId="0" borderId="0" xfId="1" applyFont="1" applyFill="1" applyBorder="1" applyAlignment="1">
      <alignment horizontal="right" wrapText="1"/>
    </xf>
    <xf numFmtId="43" fontId="17" fillId="0" borderId="17" xfId="1" applyFont="1" applyFill="1" applyBorder="1" applyAlignment="1">
      <alignment horizontal="right" wrapText="1"/>
    </xf>
    <xf numFmtId="43" fontId="19" fillId="0" borderId="0" xfId="1" applyFont="1" applyBorder="1" applyAlignment="1"/>
    <xf numFmtId="0" fontId="24" fillId="0" borderId="0" xfId="0" applyFont="1" applyAlignment="1">
      <alignment wrapText="1"/>
    </xf>
    <xf numFmtId="43" fontId="8" fillId="0" borderId="0" xfId="1" applyFont="1" applyBorder="1" applyAlignment="1">
      <alignment vertical="center"/>
    </xf>
    <xf numFmtId="4" fontId="8" fillId="0" borderId="16" xfId="0" applyNumberFormat="1" applyFont="1" applyBorder="1" applyAlignment="1">
      <alignment vertical="center"/>
    </xf>
    <xf numFmtId="43" fontId="14" fillId="4" borderId="16" xfId="1" applyFont="1" applyFill="1" applyBorder="1" applyAlignment="1"/>
    <xf numFmtId="4" fontId="8" fillId="0" borderId="0" xfId="0" applyNumberFormat="1" applyFont="1" applyAlignment="1">
      <alignment vertical="center"/>
    </xf>
    <xf numFmtId="0" fontId="14" fillId="0" borderId="0" xfId="0" applyFont="1" applyAlignment="1">
      <alignment wrapText="1"/>
    </xf>
    <xf numFmtId="43" fontId="26" fillId="0" borderId="0" xfId="1" applyFont="1" applyFill="1" applyBorder="1" applyAlignment="1">
      <alignment horizontal="right" vertical="center" wrapText="1"/>
    </xf>
    <xf numFmtId="0" fontId="20" fillId="0" borderId="0" xfId="0" applyFont="1" applyAlignment="1">
      <alignment wrapText="1"/>
    </xf>
    <xf numFmtId="4" fontId="8" fillId="0" borderId="18" xfId="0" applyNumberFormat="1" applyFont="1" applyBorder="1" applyAlignment="1">
      <alignment vertical="top"/>
    </xf>
    <xf numFmtId="0" fontId="14" fillId="4" borderId="13" xfId="0" applyFont="1" applyFill="1" applyBorder="1"/>
    <xf numFmtId="0" fontId="14" fillId="4" borderId="14" xfId="0" applyFont="1" applyFill="1" applyBorder="1"/>
    <xf numFmtId="0" fontId="26" fillId="0" borderId="0" xfId="0" applyFont="1" applyAlignment="1">
      <alignment horizontal="left" wrapText="1"/>
    </xf>
    <xf numFmtId="43" fontId="1" fillId="0" borderId="0" xfId="1" applyFont="1" applyFill="1" applyBorder="1" applyAlignment="1"/>
    <xf numFmtId="0" fontId="14" fillId="4" borderId="0" xfId="0" applyFont="1" applyFill="1" applyAlignment="1">
      <alignment horizontal="left"/>
    </xf>
    <xf numFmtId="0" fontId="0" fillId="0" borderId="0" xfId="0" applyAlignment="1">
      <alignment wrapText="1"/>
    </xf>
    <xf numFmtId="43" fontId="26" fillId="3" borderId="0" xfId="1" applyFont="1" applyFill="1" applyBorder="1" applyAlignment="1"/>
    <xf numFmtId="43" fontId="26" fillId="3" borderId="16" xfId="1" applyFont="1" applyFill="1" applyBorder="1" applyAlignment="1"/>
    <xf numFmtId="0" fontId="14" fillId="4" borderId="13" xfId="0" applyFont="1" applyFill="1" applyBorder="1" applyAlignment="1">
      <alignment horizontal="left"/>
    </xf>
    <xf numFmtId="43" fontId="26" fillId="0" borderId="0" xfId="1" applyFont="1" applyBorder="1" applyAlignment="1"/>
    <xf numFmtId="43" fontId="1" fillId="0" borderId="0" xfId="1" applyFont="1" applyBorder="1" applyAlignment="1"/>
    <xf numFmtId="0" fontId="21" fillId="0" borderId="0" xfId="0" applyFont="1"/>
    <xf numFmtId="43" fontId="21" fillId="0" borderId="0" xfId="1" applyFont="1" applyBorder="1" applyAlignment="1"/>
    <xf numFmtId="43" fontId="0" fillId="0" borderId="16" xfId="1" applyFont="1" applyBorder="1" applyAlignment="1"/>
    <xf numFmtId="0" fontId="20" fillId="0" borderId="14" xfId="0" applyFont="1" applyBorder="1"/>
    <xf numFmtId="0" fontId="20" fillId="0" borderId="13" xfId="0" applyFont="1" applyBorder="1"/>
    <xf numFmtId="43" fontId="18" fillId="0" borderId="13" xfId="1" applyFont="1" applyBorder="1" applyAlignment="1"/>
    <xf numFmtId="43" fontId="20" fillId="0" borderId="13" xfId="1" applyFont="1" applyBorder="1" applyAlignment="1"/>
    <xf numFmtId="43" fontId="14" fillId="0" borderId="13" xfId="1" applyFont="1" applyBorder="1" applyAlignment="1"/>
    <xf numFmtId="43" fontId="14" fillId="0" borderId="19" xfId="1" applyFont="1" applyBorder="1" applyAlignment="1"/>
    <xf numFmtId="43" fontId="0" fillId="4" borderId="14" xfId="1" applyFont="1" applyFill="1" applyBorder="1" applyAlignment="1"/>
    <xf numFmtId="43" fontId="20" fillId="4" borderId="19" xfId="1" applyFont="1" applyFill="1" applyBorder="1" applyAlignment="1"/>
    <xf numFmtId="43" fontId="20" fillId="0" borderId="0" xfId="1" applyFont="1" applyAlignment="1"/>
    <xf numFmtId="43" fontId="19" fillId="0" borderId="0" xfId="0" applyNumberFormat="1" applyFont="1"/>
    <xf numFmtId="43" fontId="20" fillId="0" borderId="0" xfId="0" applyNumberFormat="1" applyFont="1"/>
    <xf numFmtId="4" fontId="20" fillId="0" borderId="0" xfId="0" applyNumberFormat="1" applyFont="1"/>
    <xf numFmtId="0" fontId="0" fillId="0" borderId="0" xfId="0" applyAlignment="1">
      <alignment horizontal="center"/>
    </xf>
    <xf numFmtId="43" fontId="0" fillId="0" borderId="0" xfId="0" applyNumberFormat="1" applyAlignment="1">
      <alignment horizontal="center"/>
    </xf>
    <xf numFmtId="0" fontId="20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7" fillId="3" borderId="0" xfId="0" applyFont="1" applyFill="1"/>
    <xf numFmtId="0" fontId="0" fillId="3" borderId="0" xfId="0" applyFill="1"/>
    <xf numFmtId="43" fontId="1" fillId="3" borderId="0" xfId="1" applyFont="1" applyFill="1" applyBorder="1" applyAlignment="1"/>
    <xf numFmtId="43" fontId="1" fillId="3" borderId="0" xfId="1" applyFont="1" applyFill="1" applyAlignment="1"/>
    <xf numFmtId="43" fontId="0" fillId="3" borderId="0" xfId="0" applyNumberFormat="1" applyFill="1"/>
    <xf numFmtId="43" fontId="1" fillId="0" borderId="0" xfId="1" applyFont="1" applyAlignment="1"/>
    <xf numFmtId="43" fontId="26" fillId="0" borderId="0" xfId="1" applyFont="1" applyFill="1" applyBorder="1" applyAlignment="1"/>
    <xf numFmtId="43" fontId="1" fillId="0" borderId="0" xfId="1" applyFont="1" applyFill="1" applyBorder="1" applyAlignment="1">
      <alignment horizontal="right" vertical="center" wrapText="1"/>
    </xf>
    <xf numFmtId="0" fontId="0" fillId="0" borderId="14" xfId="0" applyBorder="1"/>
    <xf numFmtId="43" fontId="20" fillId="0" borderId="13" xfId="1" applyFont="1" applyFill="1" applyBorder="1" applyAlignment="1"/>
    <xf numFmtId="43" fontId="0" fillId="0" borderId="0" xfId="1" applyFont="1" applyFill="1" applyAlignment="1"/>
    <xf numFmtId="43" fontId="18" fillId="0" borderId="0" xfId="1" applyFont="1" applyBorder="1" applyAlignment="1"/>
    <xf numFmtId="43" fontId="1" fillId="3" borderId="0" xfId="1" applyFont="1" applyFill="1" applyBorder="1" applyAlignment="1">
      <alignment horizontal="right" vertical="center" wrapText="1"/>
    </xf>
    <xf numFmtId="0" fontId="0" fillId="6" borderId="0" xfId="0" applyFill="1"/>
    <xf numFmtId="0" fontId="17" fillId="6" borderId="0" xfId="0" applyFont="1" applyFill="1" applyAlignment="1">
      <alignment wrapText="1"/>
    </xf>
    <xf numFmtId="43" fontId="17" fillId="6" borderId="0" xfId="1" applyFont="1" applyFill="1" applyBorder="1" applyAlignment="1"/>
    <xf numFmtId="0" fontId="0" fillId="0" borderId="0" xfId="0" applyAlignment="1">
      <alignment horizontal="left"/>
    </xf>
    <xf numFmtId="43" fontId="2" fillId="0" borderId="0" xfId="1" applyFont="1"/>
    <xf numFmtId="0" fontId="6" fillId="2" borderId="4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43" fontId="6" fillId="2" borderId="6" xfId="0" applyNumberFormat="1" applyFont="1" applyFill="1" applyBorder="1" applyAlignment="1">
      <alignment horizontal="center" vertical="center" wrapText="1"/>
    </xf>
    <xf numFmtId="43" fontId="6" fillId="2" borderId="7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22" fillId="0" borderId="0" xfId="0" applyFont="1" applyAlignment="1">
      <alignment horizontal="center"/>
    </xf>
    <xf numFmtId="0" fontId="20" fillId="4" borderId="14" xfId="0" applyFont="1" applyFill="1" applyBorder="1" applyAlignment="1">
      <alignment horizontal="center"/>
    </xf>
    <xf numFmtId="0" fontId="20" fillId="4" borderId="13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117</xdr:row>
      <xdr:rowOff>0</xdr:rowOff>
    </xdr:from>
    <xdr:to>
      <xdr:col>0</xdr:col>
      <xdr:colOff>3292582</xdr:colOff>
      <xdr:row>130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C876D7F-8F7F-4188-A73D-CBEF55B9C3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0414" t="58906" r="59413" b="15225"/>
        <a:stretch>
          <a:fillRect/>
        </a:stretch>
      </xdr:blipFill>
      <xdr:spPr>
        <a:xfrm>
          <a:off x="0" y="23174325"/>
          <a:ext cx="3292582" cy="26479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117</xdr:row>
      <xdr:rowOff>114300</xdr:rowOff>
    </xdr:from>
    <xdr:to>
      <xdr:col>11</xdr:col>
      <xdr:colOff>257175</xdr:colOff>
      <xdr:row>130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B411C4C-E195-4E32-B89C-524B4A0D86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4867" t="59972" r="23501" b="15225"/>
        <a:stretch>
          <a:fillRect/>
        </a:stretch>
      </xdr:blipFill>
      <xdr:spPr>
        <a:xfrm>
          <a:off x="11353800" y="23288625"/>
          <a:ext cx="3390900" cy="243840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19053</xdr:colOff>
      <xdr:row>117</xdr:row>
      <xdr:rowOff>76200</xdr:rowOff>
    </xdr:from>
    <xdr:to>
      <xdr:col>6</xdr:col>
      <xdr:colOff>152404</xdr:colOff>
      <xdr:row>131</xdr:row>
      <xdr:rowOff>4131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C260F26-129F-482F-9490-596755C5BC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54055" t="42533" r="27400" b="11350"/>
        <a:stretch>
          <a:fillRect/>
        </a:stretch>
      </xdr:blipFill>
      <xdr:spPr>
        <a:xfrm rot="16200000">
          <a:off x="6508275" y="22885878"/>
          <a:ext cx="2594931" cy="3324226"/>
        </a:xfrm>
        <a:prstGeom prst="rect">
          <a:avLst/>
        </a:prstGeom>
      </xdr:spPr>
    </xdr:pic>
    <xdr:clientData/>
  </xdr:twoCellAnchor>
  <xdr:twoCellAnchor editAs="oneCell">
    <xdr:from>
      <xdr:col>5</xdr:col>
      <xdr:colOff>685800</xdr:colOff>
      <xdr:row>0</xdr:row>
      <xdr:rowOff>57151</xdr:rowOff>
    </xdr:from>
    <xdr:to>
      <xdr:col>6</xdr:col>
      <xdr:colOff>891763</xdr:colOff>
      <xdr:row>3</xdr:row>
      <xdr:rowOff>314325</xdr:rowOff>
    </xdr:to>
    <xdr:pic>
      <xdr:nvPicPr>
        <xdr:cNvPr id="5" name="Imagen 4" descr="Escudo de República Dominicana">
          <a:extLst>
            <a:ext uri="{FF2B5EF4-FFF2-40B4-BE49-F238E27FC236}">
              <a16:creationId xmlns:a16="http://schemas.microsoft.com/office/drawing/2014/main" id="{38492FCF-1DE7-4790-AA51-04AC2BC54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82075" y="57151"/>
          <a:ext cx="1225138" cy="828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2857501</xdr:colOff>
      <xdr:row>0</xdr:row>
      <xdr:rowOff>57150</xdr:rowOff>
    </xdr:from>
    <xdr:to>
      <xdr:col>2</xdr:col>
      <xdr:colOff>447676</xdr:colOff>
      <xdr:row>4</xdr:row>
      <xdr:rowOff>109701</xdr:rowOff>
    </xdr:to>
    <xdr:pic>
      <xdr:nvPicPr>
        <xdr:cNvPr id="2" name="Imagen 1" descr="Escudo de República Dominicana">
          <a:extLst>
            <a:ext uri="{FF2B5EF4-FFF2-40B4-BE49-F238E27FC236}">
              <a16:creationId xmlns:a16="http://schemas.microsoft.com/office/drawing/2014/main" id="{ABFDCF0E-B894-42D0-ACF3-AF5ECC855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0426" y="57150"/>
          <a:ext cx="1485900" cy="10050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152401</xdr:colOff>
      <xdr:row>299</xdr:row>
      <xdr:rowOff>152400</xdr:rowOff>
    </xdr:from>
    <xdr:to>
      <xdr:col>1</xdr:col>
      <xdr:colOff>3455159</xdr:colOff>
      <xdr:row>308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6647EC9-F2CD-4D13-B278-14BDC41F39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0414" t="58906" r="59413" b="15225"/>
        <a:stretch>
          <a:fillRect/>
        </a:stretch>
      </xdr:blipFill>
      <xdr:spPr>
        <a:xfrm>
          <a:off x="695326" y="16268700"/>
          <a:ext cx="3302758" cy="1676400"/>
        </a:xfrm>
        <a:prstGeom prst="rect">
          <a:avLst/>
        </a:prstGeom>
      </xdr:spPr>
    </xdr:pic>
    <xdr:clientData/>
  </xdr:twoCellAnchor>
  <xdr:twoCellAnchor editAs="oneCell">
    <xdr:from>
      <xdr:col>14</xdr:col>
      <xdr:colOff>962026</xdr:colOff>
      <xdr:row>299</xdr:row>
      <xdr:rowOff>66675</xdr:rowOff>
    </xdr:from>
    <xdr:to>
      <xdr:col>20</xdr:col>
      <xdr:colOff>114301</xdr:colOff>
      <xdr:row>307</xdr:row>
      <xdr:rowOff>15724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274EDD9-5241-4C6F-A463-62E65D41FF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54867" t="58906" r="23501" b="15225"/>
        <a:stretch>
          <a:fillRect/>
        </a:stretch>
      </xdr:blipFill>
      <xdr:spPr>
        <a:xfrm>
          <a:off x="9144001" y="16182975"/>
          <a:ext cx="3238500" cy="1473049"/>
        </a:xfrm>
        <a:prstGeom prst="rect">
          <a:avLst/>
        </a:prstGeom>
      </xdr:spPr>
    </xdr:pic>
    <xdr:clientData/>
  </xdr:twoCellAnchor>
  <xdr:twoCellAnchor editAs="oneCell">
    <xdr:from>
      <xdr:col>2</xdr:col>
      <xdr:colOff>1352552</xdr:colOff>
      <xdr:row>298</xdr:row>
      <xdr:rowOff>142874</xdr:rowOff>
    </xdr:from>
    <xdr:to>
      <xdr:col>9</xdr:col>
      <xdr:colOff>409578</xdr:colOff>
      <xdr:row>308</xdr:row>
      <xdr:rowOff>159307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56584AD-A7EA-4C71-B200-EC4E0CB1051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54055" t="42533" r="27400" b="11350"/>
        <a:stretch>
          <a:fillRect/>
        </a:stretch>
      </xdr:blipFill>
      <xdr:spPr>
        <a:xfrm rot="16200000">
          <a:off x="6783111" y="15067240"/>
          <a:ext cx="1921433" cy="390525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S-FILES\Archivos%20de%20Presupuesto\Carpeta%20compartida%20Presupuesto\CUADRES%20AUDITADOS%202025\05-REVISI&#211;N%20EJECUCI&#211;N%20PRESUPUESTARIA%20-%20MAYO%202025.xlsm" TargetMode="External"/><Relationship Id="rId1" Type="http://schemas.openxmlformats.org/officeDocument/2006/relationships/externalLinkPath" Target="file:///\\S-FILES\Archivos%20de%20Presupuesto\Carpeta%20compartida%20Presupuesto\CUADRES%20AUDITADOS%202025\05-REVISI&#211;N%20EJECUCI&#211;N%20PRESUPUESTARIA%20-%20MAYO%20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VISIÓN MAYO 2025"/>
      <sheetName val="JUSTIFICACIÓN MAYO 2025"/>
      <sheetName val="INVENTARIO MAYO 2025"/>
      <sheetName val="BANCOS"/>
      <sheetName val="COMPARACIÓN LIBRO DE CHEQUES OP"/>
      <sheetName val="RETENCIONES Y ACUM"/>
      <sheetName val="INGRESOS"/>
    </sheetNames>
    <sheetDataSet>
      <sheetData sheetId="0">
        <row r="7">
          <cell r="C7">
            <v>16547341.130000001</v>
          </cell>
        </row>
        <row r="8">
          <cell r="C8">
            <v>1774925</v>
          </cell>
        </row>
        <row r="9">
          <cell r="C9">
            <v>490100</v>
          </cell>
        </row>
        <row r="10">
          <cell r="C10">
            <v>188587.49</v>
          </cell>
        </row>
        <row r="11">
          <cell r="C11">
            <v>7757275.71</v>
          </cell>
        </row>
        <row r="12">
          <cell r="C12">
            <v>451872.75</v>
          </cell>
        </row>
        <row r="15">
          <cell r="C15">
            <v>7470875</v>
          </cell>
        </row>
        <row r="16">
          <cell r="C16">
            <v>1494723</v>
          </cell>
        </row>
        <row r="17">
          <cell r="C17">
            <v>1440950</v>
          </cell>
        </row>
        <row r="19">
          <cell r="C19">
            <v>12324732.33</v>
          </cell>
        </row>
        <row r="20">
          <cell r="C20">
            <v>9693200</v>
          </cell>
        </row>
        <row r="24">
          <cell r="C24">
            <v>103400000</v>
          </cell>
        </row>
        <row r="32">
          <cell r="C32">
            <v>1922615.39</v>
          </cell>
        </row>
        <row r="33">
          <cell r="C33">
            <v>43420.71</v>
          </cell>
        </row>
        <row r="34">
          <cell r="C34">
            <v>3159502.7</v>
          </cell>
        </row>
        <row r="35">
          <cell r="C35">
            <v>47896.4</v>
          </cell>
        </row>
        <row r="36">
          <cell r="C36">
            <v>120630</v>
          </cell>
        </row>
        <row r="38">
          <cell r="C38">
            <v>19061940</v>
          </cell>
        </row>
        <row r="39">
          <cell r="C39">
            <v>4200168.32</v>
          </cell>
        </row>
        <row r="41">
          <cell r="C41">
            <v>17503989.120000001</v>
          </cell>
        </row>
        <row r="44">
          <cell r="C44">
            <v>749498.5</v>
          </cell>
        </row>
        <row r="46">
          <cell r="C46">
            <v>3289961.18</v>
          </cell>
        </row>
        <row r="48">
          <cell r="C48">
            <v>15000</v>
          </cell>
        </row>
        <row r="52">
          <cell r="C52">
            <v>14447.73</v>
          </cell>
        </row>
        <row r="53">
          <cell r="C53"/>
        </row>
        <row r="54">
          <cell r="C54">
            <v>359392</v>
          </cell>
        </row>
        <row r="55">
          <cell r="C55">
            <v>123900</v>
          </cell>
        </row>
        <row r="56">
          <cell r="C56">
            <v>34850</v>
          </cell>
        </row>
        <row r="59">
          <cell r="C59">
            <v>4970500</v>
          </cell>
        </row>
        <row r="60">
          <cell r="C60">
            <v>13688330.439999999</v>
          </cell>
        </row>
        <row r="62">
          <cell r="C62">
            <v>4184299.72</v>
          </cell>
        </row>
        <row r="65">
          <cell r="C65">
            <v>2084711.62</v>
          </cell>
        </row>
        <row r="66">
          <cell r="C66">
            <v>177000</v>
          </cell>
        </row>
        <row r="70">
          <cell r="C70">
            <v>238923.44</v>
          </cell>
        </row>
        <row r="71">
          <cell r="C71">
            <v>163317.14000000001</v>
          </cell>
        </row>
        <row r="80">
          <cell r="C80">
            <v>17708491.280000001</v>
          </cell>
        </row>
        <row r="83">
          <cell r="C83">
            <v>2092843.49</v>
          </cell>
        </row>
        <row r="85">
          <cell r="C85">
            <v>833168.01</v>
          </cell>
        </row>
        <row r="90">
          <cell r="C90">
            <v>6862434.8300000001</v>
          </cell>
        </row>
        <row r="92">
          <cell r="C92">
            <v>218990</v>
          </cell>
        </row>
        <row r="94">
          <cell r="C94">
            <v>32863</v>
          </cell>
        </row>
        <row r="96">
          <cell r="C96">
            <v>194700</v>
          </cell>
        </row>
        <row r="99">
          <cell r="C99">
            <v>197886</v>
          </cell>
        </row>
        <row r="100">
          <cell r="C100">
            <v>300778.96999999997</v>
          </cell>
        </row>
        <row r="101">
          <cell r="C101">
            <v>154580</v>
          </cell>
        </row>
        <row r="102">
          <cell r="C102">
            <v>10578.73</v>
          </cell>
        </row>
        <row r="104">
          <cell r="C104">
            <v>579817.63</v>
          </cell>
        </row>
        <row r="106">
          <cell r="C106">
            <v>472480.5</v>
          </cell>
        </row>
        <row r="110">
          <cell r="C110">
            <v>257770.42</v>
          </cell>
        </row>
        <row r="114">
          <cell r="C114">
            <v>55224</v>
          </cell>
        </row>
        <row r="118">
          <cell r="C118">
            <v>181112.91</v>
          </cell>
        </row>
        <row r="121">
          <cell r="C121">
            <v>8751374.5199999996</v>
          </cell>
        </row>
        <row r="127">
          <cell r="C127">
            <v>100098.12</v>
          </cell>
        </row>
        <row r="134">
          <cell r="C134">
            <v>162061.20000000001</v>
          </cell>
        </row>
        <row r="137">
          <cell r="C137">
            <v>1660377.89</v>
          </cell>
        </row>
        <row r="142">
          <cell r="C142">
            <v>8565.33</v>
          </cell>
        </row>
        <row r="143">
          <cell r="C143">
            <v>280038.13</v>
          </cell>
        </row>
        <row r="148">
          <cell r="C148">
            <v>5324666.93</v>
          </cell>
        </row>
        <row r="149">
          <cell r="C149">
            <v>30657000</v>
          </cell>
        </row>
        <row r="150">
          <cell r="C150">
            <v>2515157.33</v>
          </cell>
        </row>
        <row r="152">
          <cell r="C152">
            <v>2378500</v>
          </cell>
        </row>
        <row r="155">
          <cell r="C155">
            <v>1452000</v>
          </cell>
        </row>
        <row r="167">
          <cell r="C167">
            <v>168036.6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175BA-D570-4E90-B63A-E55DF0D11F88}">
  <dimension ref="A4:R116"/>
  <sheetViews>
    <sheetView tabSelected="1" workbookViewId="0">
      <pane xSplit="3" ySplit="12" topLeftCell="D40" activePane="bottomRight" state="frozen"/>
      <selection pane="topRight" activeCell="D1" sqref="D1"/>
      <selection pane="bottomLeft" activeCell="A12" sqref="A12"/>
      <selection pane="bottomRight" activeCell="C10" sqref="C10:C11"/>
    </sheetView>
  </sheetViews>
  <sheetFormatPr baseColWidth="10" defaultRowHeight="15" x14ac:dyDescent="0.25"/>
  <cols>
    <col min="1" max="1" width="56.28515625" style="1" customWidth="1"/>
    <col min="2" max="2" width="18.5703125" style="1" customWidth="1"/>
    <col min="3" max="3" width="17" style="1" customWidth="1"/>
    <col min="4" max="4" width="16.7109375" style="1" customWidth="1"/>
    <col min="5" max="5" width="15.85546875" style="1" bestFit="1" customWidth="1"/>
    <col min="6" max="8" width="15.28515625" style="1" bestFit="1" customWidth="1"/>
    <col min="9" max="10" width="15.85546875" style="1" bestFit="1" customWidth="1"/>
    <col min="11" max="13" width="15.28515625" style="1" bestFit="1" customWidth="1"/>
    <col min="14" max="14" width="15.140625" style="1" bestFit="1" customWidth="1"/>
    <col min="15" max="15" width="13.140625" style="1" bestFit="1" customWidth="1"/>
    <col min="16" max="16" width="17.28515625" style="1" customWidth="1"/>
    <col min="17" max="17" width="11.5703125" style="1" bestFit="1" customWidth="1"/>
    <col min="18" max="16384" width="11.42578125" style="1"/>
  </cols>
  <sheetData>
    <row r="4" spans="1:18" ht="28.5" x14ac:dyDescent="0.25">
      <c r="A4" s="161"/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</row>
    <row r="5" spans="1:18" ht="21" x14ac:dyDescent="0.25">
      <c r="A5" s="163" t="s">
        <v>92</v>
      </c>
      <c r="B5" s="164"/>
      <c r="C5" s="164"/>
      <c r="D5" s="164"/>
      <c r="E5" s="164"/>
      <c r="F5" s="164"/>
      <c r="G5" s="164"/>
      <c r="H5" s="164"/>
      <c r="I5" s="164"/>
      <c r="J5" s="164"/>
      <c r="K5" s="164"/>
      <c r="L5" s="164"/>
      <c r="M5" s="164"/>
      <c r="N5" s="164"/>
      <c r="O5" s="164"/>
      <c r="P5" s="164"/>
    </row>
    <row r="6" spans="1:18" ht="15.75" x14ac:dyDescent="0.25">
      <c r="A6" s="165" t="s">
        <v>93</v>
      </c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</row>
    <row r="7" spans="1:18" ht="15.75" x14ac:dyDescent="0.25">
      <c r="A7" s="167" t="s">
        <v>410</v>
      </c>
      <c r="B7" s="168"/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</row>
    <row r="8" spans="1:18" ht="15.75" x14ac:dyDescent="0.25">
      <c r="A8" s="168" t="s">
        <v>0</v>
      </c>
      <c r="B8" s="168"/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</row>
    <row r="9" spans="1:18" x14ac:dyDescent="0.25">
      <c r="E9" s="41"/>
    </row>
    <row r="10" spans="1:18" x14ac:dyDescent="0.25">
      <c r="A10" s="155" t="s">
        <v>1</v>
      </c>
      <c r="B10" s="157" t="s">
        <v>2</v>
      </c>
      <c r="C10" s="157" t="s">
        <v>3</v>
      </c>
      <c r="D10" s="159" t="s">
        <v>4</v>
      </c>
      <c r="E10" s="159"/>
      <c r="F10" s="159"/>
      <c r="G10" s="159"/>
      <c r="H10" s="159"/>
      <c r="I10" s="159"/>
      <c r="J10" s="159"/>
      <c r="K10" s="159"/>
      <c r="L10" s="159"/>
      <c r="M10" s="159"/>
      <c r="N10" s="159"/>
      <c r="O10" s="159"/>
      <c r="P10" s="160"/>
    </row>
    <row r="11" spans="1:18" x14ac:dyDescent="0.25">
      <c r="A11" s="156"/>
      <c r="B11" s="158"/>
      <c r="C11" s="158"/>
      <c r="D11" s="2" t="s">
        <v>5</v>
      </c>
      <c r="E11" s="2" t="s">
        <v>6</v>
      </c>
      <c r="F11" s="2" t="s">
        <v>7</v>
      </c>
      <c r="G11" s="2" t="s">
        <v>8</v>
      </c>
      <c r="H11" s="3" t="s">
        <v>9</v>
      </c>
      <c r="I11" s="2" t="s">
        <v>10</v>
      </c>
      <c r="J11" s="3" t="s">
        <v>11</v>
      </c>
      <c r="K11" s="2" t="s">
        <v>12</v>
      </c>
      <c r="L11" s="2" t="s">
        <v>13</v>
      </c>
      <c r="M11" s="2" t="s">
        <v>14</v>
      </c>
      <c r="N11" s="2" t="s">
        <v>15</v>
      </c>
      <c r="O11" s="3" t="s">
        <v>16</v>
      </c>
      <c r="P11" s="2" t="s">
        <v>17</v>
      </c>
    </row>
    <row r="12" spans="1:18" x14ac:dyDescent="0.25">
      <c r="A12" s="4" t="s">
        <v>18</v>
      </c>
      <c r="B12" s="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8" x14ac:dyDescent="0.25">
      <c r="A13" s="40" t="s">
        <v>94</v>
      </c>
      <c r="B13" s="7">
        <f>+B15+B21+B31+B41+B57</f>
        <v>4583417828</v>
      </c>
      <c r="C13" s="7">
        <f>+C15+C21+C31+C41+C57</f>
        <v>4581594132.1700001</v>
      </c>
      <c r="D13" s="7">
        <f>+D14+D21+D31+D41+D57+D94+D92</f>
        <v>625909988.14333332</v>
      </c>
      <c r="E13" s="7">
        <f t="shared" ref="E13:N13" si="0">+E14+E21+E31+E41+E57+E111</f>
        <v>473061740.22000003</v>
      </c>
      <c r="F13" s="7">
        <f t="shared" si="0"/>
        <v>353082686.35999995</v>
      </c>
      <c r="G13" s="7">
        <f t="shared" si="0"/>
        <v>611179797.44000006</v>
      </c>
      <c r="H13" s="7">
        <f t="shared" si="0"/>
        <v>512939162.98000002</v>
      </c>
      <c r="I13" s="7">
        <f t="shared" si="0"/>
        <v>413395924.38000005</v>
      </c>
      <c r="J13" s="7">
        <f t="shared" si="0"/>
        <v>538355659.13999999</v>
      </c>
      <c r="K13" s="7">
        <f t="shared" si="0"/>
        <v>395658093.09000009</v>
      </c>
      <c r="L13" s="7">
        <f t="shared" si="0"/>
        <v>365290277.58999991</v>
      </c>
      <c r="M13" s="7">
        <f t="shared" si="0"/>
        <v>384641466.11000001</v>
      </c>
      <c r="N13" s="7">
        <f t="shared" si="0"/>
        <v>0</v>
      </c>
      <c r="O13" s="7">
        <f>+O15+O21+O31+O41+O57</f>
        <v>0</v>
      </c>
      <c r="P13" s="7">
        <f>SUM(D13:O13)</f>
        <v>4673514795.4533329</v>
      </c>
    </row>
    <row r="14" spans="1:18" x14ac:dyDescent="0.25">
      <c r="A14" s="40" t="s">
        <v>409</v>
      </c>
      <c r="B14" s="7">
        <f t="shared" ref="B14:C14" si="1">+B15+B89</f>
        <v>3470941950</v>
      </c>
      <c r="C14" s="7">
        <f t="shared" si="1"/>
        <v>3511265055.3299999</v>
      </c>
      <c r="D14" s="7">
        <f>+D15+D89</f>
        <v>242192129.13</v>
      </c>
      <c r="E14" s="7">
        <f>+E15+E89</f>
        <v>238695023.06</v>
      </c>
      <c r="F14" s="7">
        <f t="shared" ref="F14:H14" si="2">+F15+F89</f>
        <v>236598288.69</v>
      </c>
      <c r="G14" s="7">
        <f t="shared" si="2"/>
        <v>275317497.80000001</v>
      </c>
      <c r="H14" s="7">
        <f t="shared" si="2"/>
        <v>343898408.49000001</v>
      </c>
      <c r="I14" s="7">
        <f t="shared" ref="I14" si="3">+I15+I89</f>
        <v>264177156.25</v>
      </c>
      <c r="J14" s="7">
        <f>+J15+J89</f>
        <v>327246962.13999999</v>
      </c>
      <c r="K14" s="7">
        <f>+K15+K89</f>
        <v>256173459.99000001</v>
      </c>
      <c r="L14" s="7">
        <f t="shared" ref="L14" si="4">+L15+L89</f>
        <v>252112137.88999999</v>
      </c>
      <c r="M14" s="7">
        <f t="shared" ref="M14" si="5">+M15+M89</f>
        <v>252113878.68000001</v>
      </c>
      <c r="N14" s="7">
        <f t="shared" ref="N14" si="6">+N15+N89</f>
        <v>0</v>
      </c>
      <c r="O14" s="7"/>
      <c r="P14" s="7">
        <f>SUM(D14:O14)</f>
        <v>2688524942.1199999</v>
      </c>
    </row>
    <row r="15" spans="1:18" x14ac:dyDescent="0.25">
      <c r="A15" s="6" t="s">
        <v>19</v>
      </c>
      <c r="B15" s="31">
        <f>SUM(B16:B20)</f>
        <v>2659226731</v>
      </c>
      <c r="C15" s="31">
        <f>SUM(C16:C20)</f>
        <v>2699549836.3299999</v>
      </c>
      <c r="D15" s="31">
        <f>SUM(D16:D20)</f>
        <v>174549194.21000001</v>
      </c>
      <c r="E15" s="31">
        <f>SUM(E16:E20)</f>
        <v>171052088.14000002</v>
      </c>
      <c r="F15" s="31">
        <f>SUM(F16:F20)</f>
        <v>168955353.77000001</v>
      </c>
      <c r="G15" s="31">
        <f t="shared" ref="G15:O15" si="7">SUM(G16:G20)</f>
        <v>207674562.88</v>
      </c>
      <c r="H15" s="31">
        <f t="shared" si="7"/>
        <v>276255473.56999999</v>
      </c>
      <c r="I15" s="31">
        <f t="shared" ref="I15:N15" si="8">SUM(I16:I20)</f>
        <v>196534221.32999998</v>
      </c>
      <c r="J15" s="31">
        <f t="shared" ref="J15" si="9">SUM(J16:J20)</f>
        <v>259604027.21999997</v>
      </c>
      <c r="K15" s="31">
        <f t="shared" si="8"/>
        <v>188530525.06999999</v>
      </c>
      <c r="L15" s="31">
        <f t="shared" si="8"/>
        <v>184469202.97</v>
      </c>
      <c r="M15" s="31">
        <f t="shared" si="8"/>
        <v>184470943.75999999</v>
      </c>
      <c r="N15" s="31">
        <f t="shared" si="8"/>
        <v>0</v>
      </c>
      <c r="O15" s="31">
        <f t="shared" si="7"/>
        <v>0</v>
      </c>
      <c r="P15" s="7">
        <f>SUM(D15:O15)</f>
        <v>2012095592.9199998</v>
      </c>
      <c r="Q15" s="27"/>
      <c r="R15" s="27"/>
    </row>
    <row r="16" spans="1:18" x14ac:dyDescent="0.25">
      <c r="A16" s="8" t="s">
        <v>20</v>
      </c>
      <c r="B16" s="32">
        <v>1707490766</v>
      </c>
      <c r="C16" s="33">
        <v>1736183979.3299999</v>
      </c>
      <c r="D16" s="27">
        <v>128309494.5</v>
      </c>
      <c r="E16" s="27">
        <v>124768609.86999999</v>
      </c>
      <c r="F16" s="27">
        <v>135757280.77000001</v>
      </c>
      <c r="G16" s="27">
        <v>142284884.34999999</v>
      </c>
      <c r="H16" s="27">
        <v>140430993.24000001</v>
      </c>
      <c r="I16" s="27">
        <v>133349274.14</v>
      </c>
      <c r="J16" s="27">
        <v>136444401.65999997</v>
      </c>
      <c r="K16" s="27">
        <v>139291654.56</v>
      </c>
      <c r="L16" s="27">
        <v>132310400.00999999</v>
      </c>
      <c r="M16" s="27">
        <v>133340491.59999999</v>
      </c>
      <c r="O16" s="27"/>
      <c r="P16" s="41">
        <f t="shared" ref="P16:P20" si="10">SUM(D16:O16)</f>
        <v>1346287484.6999998</v>
      </c>
      <c r="Q16" s="27"/>
      <c r="R16" s="27"/>
    </row>
    <row r="17" spans="1:18" x14ac:dyDescent="0.25">
      <c r="A17" s="8" t="s">
        <v>21</v>
      </c>
      <c r="B17" s="32">
        <v>124798662</v>
      </c>
      <c r="C17" s="15">
        <v>133224058</v>
      </c>
      <c r="D17" s="27">
        <v>9347698</v>
      </c>
      <c r="E17" s="34">
        <v>9781885.5</v>
      </c>
      <c r="F17" s="27">
        <v>11081573</v>
      </c>
      <c r="G17" s="27">
        <v>11731373</v>
      </c>
      <c r="H17" s="27">
        <v>10406548</v>
      </c>
      <c r="I17" s="27">
        <v>10054246</v>
      </c>
      <c r="J17" s="27">
        <v>10402523</v>
      </c>
      <c r="K17" s="27">
        <v>10539023</v>
      </c>
      <c r="L17" s="27">
        <v>13986475</v>
      </c>
      <c r="M17" s="27">
        <v>13138275</v>
      </c>
      <c r="O17" s="27"/>
      <c r="P17" s="41">
        <f t="shared" si="10"/>
        <v>110469619.5</v>
      </c>
      <c r="Q17" s="27"/>
      <c r="R17" s="27"/>
    </row>
    <row r="18" spans="1:18" x14ac:dyDescent="0.25">
      <c r="A18" s="8" t="s">
        <v>22</v>
      </c>
      <c r="B18" s="32">
        <v>220723990</v>
      </c>
      <c r="C18" s="33">
        <v>220723990</v>
      </c>
      <c r="D18" s="27">
        <v>22580500</v>
      </c>
      <c r="E18" s="27">
        <v>22215850</v>
      </c>
      <c r="F18" s="27">
        <v>22116500</v>
      </c>
      <c r="G18" s="27">
        <v>22120997</v>
      </c>
      <c r="H18" s="27">
        <v>22017932.329999998</v>
      </c>
      <c r="I18" s="27">
        <v>22225099</v>
      </c>
      <c r="J18" s="27">
        <v>22085348</v>
      </c>
      <c r="K18" s="27">
        <v>22992100</v>
      </c>
      <c r="L18" s="27">
        <v>22469500</v>
      </c>
      <c r="M18" s="27">
        <v>22199750</v>
      </c>
      <c r="O18" s="27"/>
      <c r="P18" s="41">
        <f t="shared" si="10"/>
        <v>223023576.32999998</v>
      </c>
      <c r="Q18" s="35"/>
      <c r="R18" s="27"/>
    </row>
    <row r="19" spans="1:18" x14ac:dyDescent="0.25">
      <c r="A19" s="8" t="s">
        <v>23</v>
      </c>
      <c r="B19" s="32">
        <v>432302000</v>
      </c>
      <c r="C19" s="33">
        <v>432302000</v>
      </c>
      <c r="D19" s="27">
        <v>0</v>
      </c>
      <c r="E19" s="27">
        <v>0</v>
      </c>
      <c r="F19" s="27">
        <v>0</v>
      </c>
      <c r="G19" s="27">
        <v>0</v>
      </c>
      <c r="H19" s="27">
        <v>103400000</v>
      </c>
      <c r="I19" s="27">
        <v>-550000</v>
      </c>
      <c r="J19" s="27">
        <v>74997850.140000001</v>
      </c>
      <c r="K19" s="27">
        <v>0</v>
      </c>
      <c r="L19" s="27">
        <v>0</v>
      </c>
      <c r="M19" s="27">
        <v>0</v>
      </c>
      <c r="O19" s="27"/>
      <c r="P19" s="41">
        <f t="shared" si="10"/>
        <v>177847850.13999999</v>
      </c>
      <c r="Q19" s="27"/>
      <c r="R19" s="27"/>
    </row>
    <row r="20" spans="1:18" x14ac:dyDescent="0.25">
      <c r="A20" s="8" t="s">
        <v>24</v>
      </c>
      <c r="B20" s="32">
        <v>173911313</v>
      </c>
      <c r="C20" s="33">
        <v>177115809</v>
      </c>
      <c r="D20" s="27">
        <v>14311501.709999999</v>
      </c>
      <c r="E20" s="27">
        <v>14285742.770000001</v>
      </c>
      <c r="F20" s="27">
        <v>0</v>
      </c>
      <c r="G20" s="27">
        <v>31537308.530000001</v>
      </c>
      <c r="H20" s="27">
        <v>0</v>
      </c>
      <c r="I20" s="27">
        <v>31455602.190000001</v>
      </c>
      <c r="J20" s="27">
        <v>15673904.420000002</v>
      </c>
      <c r="K20" s="27">
        <v>15707747.51</v>
      </c>
      <c r="L20" s="27">
        <v>15702827.959999999</v>
      </c>
      <c r="M20" s="27">
        <v>15792427.16</v>
      </c>
      <c r="O20" s="27">
        <v>0</v>
      </c>
      <c r="P20" s="41">
        <f t="shared" si="10"/>
        <v>154467062.25</v>
      </c>
      <c r="Q20" s="27">
        <v>0</v>
      </c>
      <c r="R20" s="27"/>
    </row>
    <row r="21" spans="1:18" x14ac:dyDescent="0.25">
      <c r="A21" s="6" t="s">
        <v>25</v>
      </c>
      <c r="B21" s="36">
        <f>SUM(B22:B30)</f>
        <v>882448565</v>
      </c>
      <c r="C21" s="36">
        <f>SUM(C22:C30)</f>
        <v>890520347.17000008</v>
      </c>
      <c r="D21" s="36">
        <f>SUM(D22:D30)</f>
        <v>293853187.69999999</v>
      </c>
      <c r="E21" s="36">
        <f>SUM(E22:E30)</f>
        <v>168121023.67000002</v>
      </c>
      <c r="F21" s="36">
        <f t="shared" ref="F21:O21" si="11">SUM(F22:F30)</f>
        <v>61508103.840000004</v>
      </c>
      <c r="G21" s="36">
        <f t="shared" si="11"/>
        <v>259403192.16</v>
      </c>
      <c r="H21" s="36">
        <f t="shared" si="11"/>
        <v>104845380.47999999</v>
      </c>
      <c r="I21" s="36">
        <f>SUM(I22:I30)</f>
        <v>78348713.830000013</v>
      </c>
      <c r="J21" s="36">
        <f>SUM(J22:J30)</f>
        <v>147340040.63999999</v>
      </c>
      <c r="K21" s="36">
        <f>SUM(K22:K30)</f>
        <v>76517346.609999999</v>
      </c>
      <c r="L21" s="36">
        <f>SUM(L22:L30)</f>
        <v>50031640.030000001</v>
      </c>
      <c r="M21" s="36">
        <f>SUM(M22:M30)</f>
        <v>50814744.979999997</v>
      </c>
      <c r="O21" s="36">
        <f t="shared" si="11"/>
        <v>0</v>
      </c>
      <c r="P21" s="7">
        <f>SUM(D21:O21)</f>
        <v>1290783373.9400001</v>
      </c>
      <c r="Q21" s="27"/>
      <c r="R21" s="27"/>
    </row>
    <row r="22" spans="1:18" x14ac:dyDescent="0.25">
      <c r="A22" s="8" t="s">
        <v>26</v>
      </c>
      <c r="B22" s="32">
        <v>68742951</v>
      </c>
      <c r="C22" s="27">
        <v>75681363.170000002</v>
      </c>
      <c r="D22" s="27">
        <v>8490856.5099999998</v>
      </c>
      <c r="E22" s="27">
        <v>4885356.57</v>
      </c>
      <c r="F22" s="27">
        <v>5087047.96</v>
      </c>
      <c r="G22" s="27">
        <v>5499255.8599999994</v>
      </c>
      <c r="H22" s="27">
        <v>5294065.2</v>
      </c>
      <c r="I22" s="27">
        <v>6019245.6800000006</v>
      </c>
      <c r="J22" s="27">
        <v>6211443.5800000001</v>
      </c>
      <c r="K22" s="27">
        <v>6652522.7000000002</v>
      </c>
      <c r="L22" s="27">
        <v>6370568.9400000004</v>
      </c>
      <c r="M22" s="27">
        <v>6016775.4199999999</v>
      </c>
      <c r="O22" s="27"/>
      <c r="P22" s="41">
        <f t="shared" ref="P22:P30" si="12">SUM(D22:O22)</f>
        <v>60527138.420000002</v>
      </c>
      <c r="Q22" s="27"/>
      <c r="R22" s="27"/>
    </row>
    <row r="23" spans="1:18" x14ac:dyDescent="0.25">
      <c r="A23" s="8" t="s">
        <v>27</v>
      </c>
      <c r="B23" s="32">
        <v>185365938</v>
      </c>
      <c r="C23" s="27">
        <v>185365938</v>
      </c>
      <c r="D23" s="27">
        <v>21959274.309999999</v>
      </c>
      <c r="E23" s="27">
        <v>1982791.94</v>
      </c>
      <c r="F23" s="27">
        <v>2221778.42</v>
      </c>
      <c r="G23" s="27">
        <v>14627654.950000001</v>
      </c>
      <c r="H23" s="27">
        <v>23262108.32</v>
      </c>
      <c r="I23" s="27">
        <v>28274179.720000003</v>
      </c>
      <c r="J23" s="27">
        <v>11973832.66</v>
      </c>
      <c r="K23" s="27">
        <v>20426393.710000001</v>
      </c>
      <c r="L23" s="27">
        <v>4885443.87</v>
      </c>
      <c r="M23" s="27">
        <v>7596187.9900000002</v>
      </c>
      <c r="O23" s="27"/>
      <c r="P23" s="41">
        <f t="shared" si="12"/>
        <v>137209645.89000002</v>
      </c>
      <c r="Q23" s="27"/>
      <c r="R23" s="27"/>
    </row>
    <row r="24" spans="1:18" x14ac:dyDescent="0.25">
      <c r="A24" s="8" t="s">
        <v>28</v>
      </c>
      <c r="B24" s="32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O24" s="27"/>
      <c r="P24" s="41">
        <f t="shared" si="12"/>
        <v>0</v>
      </c>
      <c r="Q24" s="27"/>
      <c r="R24" s="27"/>
    </row>
    <row r="25" spans="1:18" x14ac:dyDescent="0.25">
      <c r="A25" s="8" t="s">
        <v>29</v>
      </c>
      <c r="B25" s="32">
        <v>19197060</v>
      </c>
      <c r="C25" s="27">
        <v>20280430</v>
      </c>
      <c r="D25" s="27">
        <v>276648.32000000001</v>
      </c>
      <c r="E25" s="27">
        <v>4863149.92</v>
      </c>
      <c r="F25" s="27">
        <v>0</v>
      </c>
      <c r="G25" s="27">
        <v>1621640.76</v>
      </c>
      <c r="H25" s="27">
        <v>3304961.18</v>
      </c>
      <c r="I25" s="27">
        <v>2095747.24</v>
      </c>
      <c r="J25" s="27">
        <v>3401983.92</v>
      </c>
      <c r="K25" s="27">
        <v>1601514.06</v>
      </c>
      <c r="L25" s="27">
        <v>1286417.4000000001</v>
      </c>
      <c r="M25" s="1">
        <v>2179855.98</v>
      </c>
      <c r="O25" s="27"/>
      <c r="P25" s="41">
        <f t="shared" si="12"/>
        <v>20631918.779999997</v>
      </c>
      <c r="Q25" s="27"/>
      <c r="R25" s="27"/>
    </row>
    <row r="26" spans="1:18" x14ac:dyDescent="0.25">
      <c r="A26" s="8" t="s">
        <v>30</v>
      </c>
      <c r="B26" s="32">
        <v>45161660</v>
      </c>
      <c r="C26" s="27">
        <v>45161660</v>
      </c>
      <c r="D26" s="27">
        <v>3187845.09</v>
      </c>
      <c r="E26" s="27">
        <v>115482.73999999999</v>
      </c>
      <c r="F26" s="27">
        <v>5276130.54</v>
      </c>
      <c r="G26" s="27">
        <v>1183843.08</v>
      </c>
      <c r="H26" s="27">
        <v>532589.73</v>
      </c>
      <c r="I26" s="27">
        <v>1783669.85</v>
      </c>
      <c r="J26" s="27">
        <v>2324552.86</v>
      </c>
      <c r="K26" s="27">
        <v>3015576.25</v>
      </c>
      <c r="L26" s="27">
        <v>12438984.25</v>
      </c>
      <c r="M26" s="27">
        <v>1408159.88</v>
      </c>
      <c r="O26" s="27"/>
      <c r="P26" s="41">
        <f t="shared" si="12"/>
        <v>31266834.27</v>
      </c>
      <c r="Q26" s="27"/>
      <c r="R26" s="27"/>
    </row>
    <row r="27" spans="1:18" x14ac:dyDescent="0.25">
      <c r="A27" s="8" t="s">
        <v>31</v>
      </c>
      <c r="B27" s="32">
        <v>333125468</v>
      </c>
      <c r="C27" s="27">
        <v>333125468</v>
      </c>
      <c r="D27" s="27">
        <v>32297201.830000002</v>
      </c>
      <c r="E27" s="27">
        <v>189335.35000000009</v>
      </c>
      <c r="F27" s="27">
        <v>35956785.200000003</v>
      </c>
      <c r="G27" s="27">
        <v>12614855.82</v>
      </c>
      <c r="H27" s="27">
        <v>18658830.439999998</v>
      </c>
      <c r="I27" s="27">
        <v>13686846.699999999</v>
      </c>
      <c r="J27" s="27">
        <v>14214576.560000001</v>
      </c>
      <c r="K27" s="27">
        <v>22094554.370000001</v>
      </c>
      <c r="L27" s="27">
        <v>16068291.950000001</v>
      </c>
      <c r="M27" s="27">
        <v>26058885.77</v>
      </c>
      <c r="O27" s="27"/>
      <c r="P27" s="41">
        <f t="shared" si="12"/>
        <v>191840163.99000001</v>
      </c>
      <c r="Q27" s="27"/>
      <c r="R27" s="27"/>
    </row>
    <row r="28" spans="1:18" ht="30" x14ac:dyDescent="0.25">
      <c r="A28" s="10" t="s">
        <v>32</v>
      </c>
      <c r="B28" s="32">
        <v>64218202</v>
      </c>
      <c r="C28" s="27">
        <v>64218202</v>
      </c>
      <c r="D28" s="27">
        <v>1655492.24</v>
      </c>
      <c r="E28" s="27">
        <v>3468829.7199999997</v>
      </c>
      <c r="F28" s="27">
        <v>10287396.100000001</v>
      </c>
      <c r="G28" s="27">
        <v>2564609.2400000002</v>
      </c>
      <c r="H28" s="27">
        <v>6848251.9199999999</v>
      </c>
      <c r="I28" s="27">
        <v>5606759.5099999998</v>
      </c>
      <c r="J28" s="27">
        <v>1692879.77</v>
      </c>
      <c r="K28" s="27">
        <v>3028017.23</v>
      </c>
      <c r="L28" s="27">
        <v>5874700.1099999994</v>
      </c>
      <c r="M28" s="27">
        <v>3760635.54</v>
      </c>
      <c r="O28" s="27"/>
      <c r="P28" s="41">
        <f t="shared" si="12"/>
        <v>44787571.380000003</v>
      </c>
      <c r="Q28" s="27"/>
      <c r="R28" s="27"/>
    </row>
    <row r="29" spans="1:18" ht="30" x14ac:dyDescent="0.25">
      <c r="A29" s="11" t="s">
        <v>33</v>
      </c>
      <c r="B29" s="32">
        <v>166637286.00000003</v>
      </c>
      <c r="C29" s="27">
        <v>166687286.00000003</v>
      </c>
      <c r="D29" s="27">
        <f>75985869.4+150000000</f>
        <v>225985869.40000001</v>
      </c>
      <c r="E29" s="27">
        <f>2616077.43+150000000</f>
        <v>152616077.43000001</v>
      </c>
      <c r="F29" s="27">
        <v>2678965.62</v>
      </c>
      <c r="G29" s="27">
        <v>221291332.44999999</v>
      </c>
      <c r="H29" s="27">
        <f>21944573.69+25000000</f>
        <v>46944573.689999998</v>
      </c>
      <c r="I29" s="27">
        <v>20882265.129999999</v>
      </c>
      <c r="J29" s="27">
        <f>2832415.58+104688355.71</f>
        <v>107520771.28999999</v>
      </c>
      <c r="K29" s="27">
        <v>19698768.289999999</v>
      </c>
      <c r="L29" s="27">
        <v>3107233.5100000002</v>
      </c>
      <c r="M29" s="27">
        <v>3794244.4000000004</v>
      </c>
      <c r="O29" s="27"/>
      <c r="P29" s="41">
        <f t="shared" si="12"/>
        <v>804520101.21000004</v>
      </c>
      <c r="Q29" s="27"/>
      <c r="R29" s="27"/>
    </row>
    <row r="30" spans="1:18" x14ac:dyDescent="0.25">
      <c r="A30" s="8" t="s">
        <v>34</v>
      </c>
      <c r="B30" s="37">
        <v>0</v>
      </c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O30" s="27"/>
      <c r="P30" s="41">
        <f t="shared" si="12"/>
        <v>0</v>
      </c>
      <c r="Q30" s="27"/>
      <c r="R30" s="27"/>
    </row>
    <row r="31" spans="1:18" x14ac:dyDescent="0.25">
      <c r="A31" s="6" t="s">
        <v>35</v>
      </c>
      <c r="B31" s="24">
        <f>SUM(B32:B40)</f>
        <v>242134497</v>
      </c>
      <c r="C31" s="24">
        <f>SUM(C32:C40)</f>
        <v>242134497</v>
      </c>
      <c r="D31" s="24">
        <f t="shared" ref="D31:O31" si="13">SUM(D32:D40)</f>
        <v>16402973.180000002</v>
      </c>
      <c r="E31" s="24">
        <f t="shared" si="13"/>
        <v>20503214.800000001</v>
      </c>
      <c r="F31" s="24">
        <f t="shared" si="13"/>
        <v>16290544.629999999</v>
      </c>
      <c r="G31" s="24">
        <f t="shared" si="13"/>
        <v>21087129.190000001</v>
      </c>
      <c r="H31" s="24">
        <f t="shared" si="13"/>
        <v>20481732.18</v>
      </c>
      <c r="I31" s="24">
        <f>SUM(I32:I40)</f>
        <v>23624374.359999999</v>
      </c>
      <c r="J31" s="24">
        <f>SUM(J32:J40)</f>
        <v>19641480.18</v>
      </c>
      <c r="K31" s="24">
        <f>SUM(K32:K40)</f>
        <v>21853788.789999999</v>
      </c>
      <c r="L31" s="24">
        <f>SUM(L32:L40)</f>
        <v>19903951.780000001</v>
      </c>
      <c r="M31" s="24">
        <f>SUM(M32:M40)</f>
        <v>23430005.149999999</v>
      </c>
      <c r="O31" s="24">
        <f t="shared" si="13"/>
        <v>0</v>
      </c>
      <c r="P31" s="7">
        <f>SUM(D31:O31)</f>
        <v>203219194.23999998</v>
      </c>
      <c r="Q31" s="27"/>
      <c r="R31" s="27"/>
    </row>
    <row r="32" spans="1:18" x14ac:dyDescent="0.25">
      <c r="A32" s="8" t="s">
        <v>36</v>
      </c>
      <c r="B32" s="38">
        <v>68000000</v>
      </c>
      <c r="C32" s="27">
        <v>68000000</v>
      </c>
      <c r="D32" s="27">
        <v>6519619.5600000005</v>
      </c>
      <c r="E32" s="27">
        <v>6608696.1200000001</v>
      </c>
      <c r="F32" s="27">
        <v>5987207.9100000001</v>
      </c>
      <c r="G32" s="27">
        <v>6522961.0700000003</v>
      </c>
      <c r="H32" s="27">
        <v>7081424.8300000001</v>
      </c>
      <c r="I32" s="27">
        <v>8607465.0500000007</v>
      </c>
      <c r="J32" s="27">
        <v>7462786.5199999996</v>
      </c>
      <c r="K32" s="27">
        <v>9354336.3900000006</v>
      </c>
      <c r="L32" s="27">
        <v>7473012.4100000001</v>
      </c>
      <c r="M32" s="27">
        <v>7073481.1200000001</v>
      </c>
      <c r="O32" s="27"/>
      <c r="P32" s="41">
        <f t="shared" ref="P32:P40" si="14">SUM(D32:O32)</f>
        <v>72690990.980000004</v>
      </c>
      <c r="Q32" s="27"/>
      <c r="R32" s="27"/>
    </row>
    <row r="33" spans="1:18" x14ac:dyDescent="0.25">
      <c r="A33" s="8" t="s">
        <v>37</v>
      </c>
      <c r="B33" s="38">
        <v>2300000</v>
      </c>
      <c r="C33" s="27">
        <f t="shared" ref="C33:C40" si="15">+B33</f>
        <v>2300000</v>
      </c>
      <c r="D33" s="27">
        <v>84812.12</v>
      </c>
      <c r="E33" s="27">
        <v>30946.489999999998</v>
      </c>
      <c r="F33" s="27">
        <v>37276.200000000004</v>
      </c>
      <c r="G33" s="27">
        <v>136199.97999999998</v>
      </c>
      <c r="H33" s="27">
        <v>227563</v>
      </c>
      <c r="I33" s="27">
        <v>82312.81</v>
      </c>
      <c r="J33" s="27">
        <v>248951.99</v>
      </c>
      <c r="K33" s="27">
        <v>14875</v>
      </c>
      <c r="L33" s="27">
        <v>0</v>
      </c>
      <c r="M33" s="27">
        <v>0</v>
      </c>
      <c r="O33" s="27"/>
      <c r="P33" s="41">
        <f t="shared" si="14"/>
        <v>862937.59</v>
      </c>
      <c r="Q33" s="27"/>
      <c r="R33" s="27"/>
    </row>
    <row r="34" spans="1:18" x14ac:dyDescent="0.25">
      <c r="A34" s="8" t="s">
        <v>38</v>
      </c>
      <c r="B34" s="38">
        <v>10823000</v>
      </c>
      <c r="C34" s="27">
        <f t="shared" si="15"/>
        <v>10823000</v>
      </c>
      <c r="D34" s="27">
        <v>229227.9</v>
      </c>
      <c r="E34" s="27">
        <v>463194.98</v>
      </c>
      <c r="F34" s="27">
        <v>100189.84</v>
      </c>
      <c r="G34" s="27">
        <v>3688953.8</v>
      </c>
      <c r="H34" s="27">
        <v>663823.69999999995</v>
      </c>
      <c r="I34" s="27">
        <v>1013238.05</v>
      </c>
      <c r="J34" s="27">
        <v>417292.38</v>
      </c>
      <c r="K34" s="27">
        <v>348241.1</v>
      </c>
      <c r="L34" s="27">
        <v>1168176.3999999999</v>
      </c>
      <c r="M34" s="27">
        <v>216144.65999999997</v>
      </c>
      <c r="O34" s="27"/>
      <c r="P34" s="41">
        <f t="shared" si="14"/>
        <v>8308482.8099999987</v>
      </c>
      <c r="Q34" s="27"/>
      <c r="R34" s="27"/>
    </row>
    <row r="35" spans="1:18" x14ac:dyDescent="0.25">
      <c r="A35" s="8" t="s">
        <v>39</v>
      </c>
      <c r="B35" s="38">
        <v>10000000</v>
      </c>
      <c r="C35" s="27">
        <f t="shared" si="15"/>
        <v>10000000</v>
      </c>
      <c r="D35" s="27">
        <v>0</v>
      </c>
      <c r="E35" s="27">
        <v>18319.5</v>
      </c>
      <c r="F35" s="27">
        <v>0</v>
      </c>
      <c r="G35" s="27">
        <v>4660.63</v>
      </c>
      <c r="H35" s="27">
        <v>579817.63</v>
      </c>
      <c r="I35" s="27">
        <v>0</v>
      </c>
      <c r="J35" s="27">
        <v>0</v>
      </c>
      <c r="K35" s="27">
        <v>0</v>
      </c>
      <c r="L35" s="27">
        <v>0</v>
      </c>
      <c r="M35" s="27">
        <v>666233.30000000005</v>
      </c>
      <c r="O35" s="27"/>
      <c r="P35" s="41">
        <f t="shared" si="14"/>
        <v>1269031.06</v>
      </c>
      <c r="Q35" s="27"/>
      <c r="R35" s="27"/>
    </row>
    <row r="36" spans="1:18" x14ac:dyDescent="0.25">
      <c r="A36" s="8" t="s">
        <v>40</v>
      </c>
      <c r="B36" s="38">
        <v>10600000</v>
      </c>
      <c r="C36" s="27">
        <f t="shared" si="15"/>
        <v>10600000</v>
      </c>
      <c r="D36" s="27">
        <v>92711.87</v>
      </c>
      <c r="E36" s="27">
        <v>633111.13</v>
      </c>
      <c r="F36" s="27">
        <v>110437.64</v>
      </c>
      <c r="G36" s="27">
        <v>337088.64</v>
      </c>
      <c r="H36" s="27">
        <v>730250.92</v>
      </c>
      <c r="I36" s="27">
        <v>543683.12</v>
      </c>
      <c r="J36" s="27">
        <v>102144.97</v>
      </c>
      <c r="K36" s="27">
        <v>230448.22</v>
      </c>
      <c r="L36" s="27">
        <v>459194.88</v>
      </c>
      <c r="M36" s="27">
        <v>345954.26</v>
      </c>
      <c r="O36" s="27">
        <v>0</v>
      </c>
      <c r="P36" s="41">
        <f t="shared" si="14"/>
        <v>3585025.6500000004</v>
      </c>
      <c r="Q36" s="27">
        <v>0</v>
      </c>
      <c r="R36" s="27"/>
    </row>
    <row r="37" spans="1:18" x14ac:dyDescent="0.25">
      <c r="A37" s="8" t="s">
        <v>41</v>
      </c>
      <c r="B37" s="38">
        <v>1330747.0000000002</v>
      </c>
      <c r="C37" s="27">
        <f t="shared" si="15"/>
        <v>1330747.0000000002</v>
      </c>
      <c r="D37" s="27">
        <v>128416.26</v>
      </c>
      <c r="E37" s="27">
        <v>98758.819999999992</v>
      </c>
      <c r="F37" s="27">
        <v>264669.02</v>
      </c>
      <c r="G37" s="27">
        <v>48571.5</v>
      </c>
      <c r="H37" s="27">
        <v>236336.91</v>
      </c>
      <c r="I37" s="27">
        <v>694975.23</v>
      </c>
      <c r="J37" s="27">
        <v>93959.1</v>
      </c>
      <c r="K37" s="27">
        <v>37389.120000000003</v>
      </c>
      <c r="L37" s="27">
        <v>106237.79000000001</v>
      </c>
      <c r="M37" s="27">
        <v>163869.16</v>
      </c>
      <c r="O37" s="27"/>
      <c r="P37" s="41">
        <f t="shared" si="14"/>
        <v>1873182.9100000001</v>
      </c>
      <c r="Q37" s="27"/>
      <c r="R37" s="27"/>
    </row>
    <row r="38" spans="1:18" x14ac:dyDescent="0.25">
      <c r="A38" s="8" t="s">
        <v>42</v>
      </c>
      <c r="B38" s="38">
        <v>113480750.00000001</v>
      </c>
      <c r="C38" s="27">
        <f t="shared" si="15"/>
        <v>113480750.00000001</v>
      </c>
      <c r="D38" s="27">
        <v>8823346.9600000009</v>
      </c>
      <c r="E38" s="27">
        <v>9424583.540000001</v>
      </c>
      <c r="F38" s="27">
        <v>8842874.6500000004</v>
      </c>
      <c r="G38" s="27">
        <v>9414367.4199999999</v>
      </c>
      <c r="H38" s="27">
        <v>8851472.6399999987</v>
      </c>
      <c r="I38" s="27">
        <v>9805319.0899999999</v>
      </c>
      <c r="J38" s="27">
        <v>9170022.5600000005</v>
      </c>
      <c r="K38" s="27">
        <v>8849184.459999999</v>
      </c>
      <c r="L38" s="27">
        <v>9071795.8599999994</v>
      </c>
      <c r="M38" s="27">
        <v>9194263.7300000004</v>
      </c>
      <c r="O38" s="27"/>
      <c r="P38" s="41">
        <f t="shared" si="14"/>
        <v>91447230.909999996</v>
      </c>
      <c r="Q38" s="27"/>
      <c r="R38" s="27"/>
    </row>
    <row r="39" spans="1:18" ht="30" x14ac:dyDescent="0.25">
      <c r="A39" s="10" t="s">
        <v>43</v>
      </c>
      <c r="B39" s="38">
        <v>0</v>
      </c>
      <c r="C39" s="27">
        <f t="shared" si="15"/>
        <v>0</v>
      </c>
      <c r="D39" s="27"/>
      <c r="E39" s="27"/>
      <c r="F39" s="27"/>
      <c r="G39" s="27"/>
      <c r="H39" s="27"/>
      <c r="I39" s="27"/>
      <c r="J39" s="27"/>
      <c r="K39" s="27"/>
      <c r="L39" s="27"/>
      <c r="M39" s="27"/>
      <c r="O39" s="27"/>
      <c r="P39" s="41">
        <f t="shared" si="14"/>
        <v>0</v>
      </c>
      <c r="Q39" s="27"/>
      <c r="R39" s="27"/>
    </row>
    <row r="40" spans="1:18" x14ac:dyDescent="0.25">
      <c r="A40" s="8" t="s">
        <v>44</v>
      </c>
      <c r="B40" s="38">
        <v>25600000</v>
      </c>
      <c r="C40" s="27">
        <f t="shared" si="15"/>
        <v>25600000</v>
      </c>
      <c r="D40" s="27">
        <v>524838.51</v>
      </c>
      <c r="E40" s="27">
        <v>3225604.22</v>
      </c>
      <c r="F40" s="27">
        <v>947889.37000000011</v>
      </c>
      <c r="G40" s="27">
        <v>934326.15</v>
      </c>
      <c r="H40" s="27">
        <v>2111042.5499999998</v>
      </c>
      <c r="I40" s="27">
        <v>2877381.01</v>
      </c>
      <c r="J40" s="27">
        <v>2146322.66</v>
      </c>
      <c r="K40" s="27">
        <v>3019314.5</v>
      </c>
      <c r="L40" s="27">
        <v>1625534.44</v>
      </c>
      <c r="M40" s="27">
        <v>5770058.919999999</v>
      </c>
      <c r="O40" s="27"/>
      <c r="P40" s="41">
        <f t="shared" si="14"/>
        <v>23182312.329999998</v>
      </c>
      <c r="Q40" s="27"/>
      <c r="R40" s="27"/>
    </row>
    <row r="41" spans="1:18" x14ac:dyDescent="0.25">
      <c r="A41" s="6" t="s">
        <v>45</v>
      </c>
      <c r="B41" s="24">
        <f>SUM(B42:B49)</f>
        <v>630702835</v>
      </c>
      <c r="C41" s="24">
        <f>SUM(C42:C49)</f>
        <v>580484251.67000008</v>
      </c>
      <c r="D41" s="24">
        <f t="shared" ref="D41:O41" si="16">SUM(D42:D49)</f>
        <v>34532940</v>
      </c>
      <c r="E41" s="24">
        <f>SUM(E42:E49)</f>
        <v>43997420.979999997</v>
      </c>
      <c r="F41" s="24">
        <f t="shared" si="16"/>
        <v>38476465</v>
      </c>
      <c r="G41" s="24">
        <f t="shared" si="16"/>
        <v>53872981.990000002</v>
      </c>
      <c r="H41" s="24">
        <f t="shared" si="16"/>
        <v>42153064.259999998</v>
      </c>
      <c r="I41" s="24">
        <f>SUM(I42:I49)</f>
        <v>46080019.850000001</v>
      </c>
      <c r="J41" s="24">
        <f>SUM(J42:J49)</f>
        <v>39765752.079999998</v>
      </c>
      <c r="K41" s="24">
        <f>SUM(K42:K49)</f>
        <v>39138586.159999996</v>
      </c>
      <c r="L41" s="24">
        <f>SUM(L42:L49)</f>
        <v>42689961</v>
      </c>
      <c r="M41" s="24">
        <f>SUM(M42:M49)</f>
        <v>57844886.299999997</v>
      </c>
      <c r="O41" s="24">
        <f t="shared" si="16"/>
        <v>0</v>
      </c>
      <c r="P41" s="7">
        <f>SUM(D41:O41)</f>
        <v>438552077.61999995</v>
      </c>
      <c r="Q41" s="27"/>
      <c r="R41" s="27"/>
    </row>
    <row r="42" spans="1:18" x14ac:dyDescent="0.25">
      <c r="A42" s="8" t="s">
        <v>46</v>
      </c>
      <c r="B42" s="38">
        <v>630702835</v>
      </c>
      <c r="C42" s="27">
        <v>580484251.67000008</v>
      </c>
      <c r="D42" s="27">
        <v>34532940</v>
      </c>
      <c r="E42" s="27">
        <v>43997420.979999997</v>
      </c>
      <c r="F42" s="27">
        <v>38476465</v>
      </c>
      <c r="G42" s="27">
        <v>53872981.990000002</v>
      </c>
      <c r="H42" s="27">
        <v>42153064.259999998</v>
      </c>
      <c r="I42" s="27">
        <v>46080019.850000001</v>
      </c>
      <c r="J42" s="27">
        <v>39765752.079999998</v>
      </c>
      <c r="K42" s="27">
        <v>39138586.159999996</v>
      </c>
      <c r="L42" s="27">
        <v>42689961</v>
      </c>
      <c r="M42" s="27">
        <v>57809246.299999997</v>
      </c>
      <c r="O42" s="27"/>
      <c r="P42" s="41">
        <f>SUM(D42:O42)</f>
        <v>438516437.61999995</v>
      </c>
      <c r="Q42" s="27"/>
      <c r="R42" s="27"/>
    </row>
    <row r="43" spans="1:18" x14ac:dyDescent="0.25">
      <c r="A43" s="8" t="s">
        <v>47</v>
      </c>
      <c r="B43" s="38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O43" s="27"/>
      <c r="P43" s="27"/>
      <c r="Q43" s="27"/>
      <c r="R43" s="27"/>
    </row>
    <row r="44" spans="1:18" x14ac:dyDescent="0.25">
      <c r="A44" s="8" t="s">
        <v>48</v>
      </c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O44" s="27"/>
      <c r="P44" s="27"/>
      <c r="Q44" s="27"/>
      <c r="R44" s="27"/>
    </row>
    <row r="45" spans="1:18" x14ac:dyDescent="0.25">
      <c r="A45" s="8" t="s">
        <v>49</v>
      </c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O45" s="27"/>
      <c r="P45" s="27"/>
      <c r="Q45" s="27"/>
      <c r="R45" s="27"/>
    </row>
    <row r="46" spans="1:18" x14ac:dyDescent="0.25">
      <c r="A46" s="8" t="s">
        <v>50</v>
      </c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O46" s="27"/>
      <c r="P46" s="27"/>
      <c r="Q46" s="27"/>
      <c r="R46" s="27"/>
    </row>
    <row r="47" spans="1:18" x14ac:dyDescent="0.25">
      <c r="A47" s="8" t="s">
        <v>51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O47" s="27"/>
      <c r="P47" s="27"/>
      <c r="Q47" s="27"/>
      <c r="R47" s="27"/>
    </row>
    <row r="48" spans="1:18" x14ac:dyDescent="0.25">
      <c r="A48" s="8" t="s">
        <v>52</v>
      </c>
      <c r="B48" s="38"/>
      <c r="C48" s="27"/>
      <c r="D48" s="27">
        <v>0</v>
      </c>
      <c r="F48" s="27"/>
      <c r="G48" s="27">
        <v>0</v>
      </c>
      <c r="H48" s="27">
        <v>0</v>
      </c>
      <c r="I48" s="27">
        <v>0</v>
      </c>
      <c r="J48" s="27">
        <v>0</v>
      </c>
      <c r="K48" s="27">
        <v>0</v>
      </c>
      <c r="L48" s="27">
        <v>0</v>
      </c>
      <c r="M48" s="27">
        <v>35640</v>
      </c>
      <c r="O48" s="27">
        <v>0</v>
      </c>
      <c r="P48" s="41">
        <f>SUM(D48:O48)</f>
        <v>35640</v>
      </c>
      <c r="Q48" s="27">
        <v>0</v>
      </c>
      <c r="R48" s="27"/>
    </row>
    <row r="49" spans="1:18" x14ac:dyDescent="0.25">
      <c r="A49" s="8" t="s">
        <v>53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O49" s="27"/>
      <c r="P49" s="27"/>
      <c r="Q49" s="27"/>
      <c r="R49" s="27"/>
    </row>
    <row r="50" spans="1:18" x14ac:dyDescent="0.25">
      <c r="A50" s="6" t="s">
        <v>54</v>
      </c>
      <c r="B50" s="24">
        <f>SUM(B51:B56)</f>
        <v>0</v>
      </c>
      <c r="C50" s="24">
        <f t="shared" ref="C50:C56" si="17">+B50</f>
        <v>0</v>
      </c>
      <c r="D50" s="27"/>
      <c r="E50" s="27"/>
      <c r="F50" s="27"/>
      <c r="G50" s="27"/>
      <c r="H50" s="27"/>
      <c r="I50" s="27"/>
      <c r="J50" s="27"/>
      <c r="K50" s="27"/>
      <c r="L50" s="27"/>
      <c r="M50" s="27"/>
      <c r="O50" s="27"/>
      <c r="P50" s="7">
        <f>SUM(D50:O50)</f>
        <v>0</v>
      </c>
      <c r="Q50" s="27"/>
      <c r="R50" s="27"/>
    </row>
    <row r="51" spans="1:18" x14ac:dyDescent="0.25">
      <c r="A51" s="8" t="s">
        <v>55</v>
      </c>
      <c r="B51" s="27">
        <v>0</v>
      </c>
      <c r="C51" s="27">
        <f t="shared" si="17"/>
        <v>0</v>
      </c>
      <c r="D51" s="27"/>
      <c r="E51" s="27"/>
      <c r="F51" s="27"/>
      <c r="G51" s="27"/>
      <c r="H51" s="27"/>
      <c r="I51" s="27"/>
      <c r="J51" s="27"/>
      <c r="K51" s="27"/>
      <c r="L51" s="27"/>
      <c r="M51" s="27"/>
      <c r="O51" s="27"/>
      <c r="P51" s="27"/>
      <c r="Q51" s="27"/>
      <c r="R51" s="27"/>
    </row>
    <row r="52" spans="1:18" x14ac:dyDescent="0.25">
      <c r="A52" s="8" t="s">
        <v>56</v>
      </c>
      <c r="B52" s="27">
        <v>0</v>
      </c>
      <c r="C52" s="27">
        <f t="shared" si="17"/>
        <v>0</v>
      </c>
      <c r="D52" s="27"/>
      <c r="E52" s="27"/>
      <c r="F52" s="27"/>
      <c r="G52" s="27"/>
      <c r="H52" s="27"/>
      <c r="I52" s="27"/>
      <c r="J52" s="27"/>
      <c r="K52" s="27"/>
      <c r="L52" s="27"/>
      <c r="M52" s="27"/>
      <c r="O52" s="27"/>
      <c r="P52" s="27"/>
      <c r="Q52" s="27"/>
      <c r="R52" s="27"/>
    </row>
    <row r="53" spans="1:18" x14ac:dyDescent="0.25">
      <c r="A53" s="8" t="s">
        <v>57</v>
      </c>
      <c r="B53" s="27">
        <v>0</v>
      </c>
      <c r="C53" s="27">
        <f t="shared" si="17"/>
        <v>0</v>
      </c>
      <c r="D53" s="27"/>
      <c r="E53" s="27"/>
      <c r="F53" s="27"/>
      <c r="G53" s="27"/>
      <c r="H53" s="27"/>
      <c r="I53" s="27"/>
      <c r="J53" s="27"/>
      <c r="K53" s="27"/>
      <c r="L53" s="27"/>
      <c r="M53" s="27"/>
      <c r="O53" s="27"/>
      <c r="P53" s="27"/>
      <c r="Q53" s="27"/>
      <c r="R53" s="27"/>
    </row>
    <row r="54" spans="1:18" x14ac:dyDescent="0.25">
      <c r="A54" s="8" t="s">
        <v>58</v>
      </c>
      <c r="B54" s="27">
        <v>0</v>
      </c>
      <c r="C54" s="27">
        <f t="shared" si="17"/>
        <v>0</v>
      </c>
      <c r="D54" s="27"/>
      <c r="E54" s="27"/>
      <c r="F54" s="27"/>
      <c r="G54" s="27"/>
      <c r="H54" s="27"/>
      <c r="I54" s="27"/>
      <c r="J54" s="27"/>
      <c r="K54" s="27"/>
      <c r="L54" s="27"/>
      <c r="M54" s="27"/>
      <c r="O54" s="27"/>
      <c r="P54" s="27"/>
      <c r="Q54" s="27"/>
      <c r="R54" s="27"/>
    </row>
    <row r="55" spans="1:18" x14ac:dyDescent="0.25">
      <c r="A55" s="8" t="s">
        <v>59</v>
      </c>
      <c r="B55" s="27">
        <v>0</v>
      </c>
      <c r="C55" s="27">
        <f t="shared" si="17"/>
        <v>0</v>
      </c>
      <c r="D55" s="27"/>
      <c r="E55" s="27"/>
      <c r="F55" s="27"/>
      <c r="G55" s="27"/>
      <c r="H55" s="27"/>
      <c r="I55" s="27"/>
      <c r="J55" s="27"/>
      <c r="K55" s="27"/>
      <c r="L55" s="27"/>
      <c r="M55" s="27"/>
      <c r="O55" s="27"/>
      <c r="P55" s="27"/>
      <c r="Q55" s="27"/>
      <c r="R55" s="27"/>
    </row>
    <row r="56" spans="1:18" x14ac:dyDescent="0.25">
      <c r="A56" s="8" t="s">
        <v>60</v>
      </c>
      <c r="B56" s="27">
        <v>0</v>
      </c>
      <c r="C56" s="27">
        <f t="shared" si="17"/>
        <v>0</v>
      </c>
      <c r="D56" s="27"/>
      <c r="E56" s="27"/>
      <c r="F56" s="27"/>
      <c r="G56" s="27"/>
      <c r="H56" s="27"/>
      <c r="I56" s="27"/>
      <c r="J56" s="27"/>
      <c r="K56" s="27"/>
      <c r="L56" s="27"/>
      <c r="M56" s="27"/>
      <c r="O56" s="27"/>
      <c r="P56" s="27"/>
      <c r="Q56" s="27"/>
      <c r="R56" s="27"/>
    </row>
    <row r="57" spans="1:18" x14ac:dyDescent="0.25">
      <c r="A57" s="6" t="s">
        <v>61</v>
      </c>
      <c r="B57" s="24">
        <f>SUM(B58:B66)</f>
        <v>168905200</v>
      </c>
      <c r="C57" s="24">
        <f>SUM(C58:C66)</f>
        <v>168905200</v>
      </c>
      <c r="D57" s="24">
        <f t="shared" ref="D57:Q57" si="18">SUM(D58:D66)</f>
        <v>1799778.48</v>
      </c>
      <c r="E57" s="24">
        <f t="shared" si="18"/>
        <v>1745057.71</v>
      </c>
      <c r="F57" s="24">
        <f t="shared" si="18"/>
        <v>209284.2</v>
      </c>
      <c r="G57" s="24">
        <f t="shared" si="18"/>
        <v>1498996.3</v>
      </c>
      <c r="H57" s="24">
        <f t="shared" si="18"/>
        <v>1560577.57</v>
      </c>
      <c r="I57" s="24">
        <f>SUM(I58:I66)</f>
        <v>1165660.0900000001</v>
      </c>
      <c r="J57" s="24">
        <f>SUM(J58:J66)</f>
        <v>4361424.1000000006</v>
      </c>
      <c r="K57" s="24">
        <f>SUM(K58:K66)</f>
        <v>1974911.5399999998</v>
      </c>
      <c r="L57" s="24">
        <f>SUM(L58:L66)</f>
        <v>552586.89</v>
      </c>
      <c r="M57" s="24">
        <f>SUM(M58:M66)</f>
        <v>437951</v>
      </c>
      <c r="O57" s="24">
        <f t="shared" si="18"/>
        <v>0</v>
      </c>
      <c r="P57" s="7">
        <f>SUM(D57:O57)</f>
        <v>15306227.880000001</v>
      </c>
      <c r="Q57" s="24">
        <f t="shared" si="18"/>
        <v>0</v>
      </c>
      <c r="R57" s="27"/>
    </row>
    <row r="58" spans="1:18" x14ac:dyDescent="0.25">
      <c r="A58" s="8" t="s">
        <v>62</v>
      </c>
      <c r="B58" s="38">
        <v>35000000</v>
      </c>
      <c r="C58" s="27">
        <f t="shared" ref="C58:C66" si="19">+B58</f>
        <v>35000000</v>
      </c>
      <c r="D58" s="27">
        <v>1799778.48</v>
      </c>
      <c r="E58" s="27">
        <v>735744.16</v>
      </c>
      <c r="F58" s="27">
        <v>209284.2</v>
      </c>
      <c r="G58" s="27">
        <v>1270513.6200000001</v>
      </c>
      <c r="H58" s="27">
        <v>168036.6</v>
      </c>
      <c r="I58" s="27">
        <v>617193.33000000007</v>
      </c>
      <c r="J58" s="27">
        <v>4241499.1000000006</v>
      </c>
      <c r="K58" s="27">
        <v>1886429.2399999998</v>
      </c>
      <c r="L58" s="27">
        <v>506389.89</v>
      </c>
      <c r="M58" s="27">
        <v>0</v>
      </c>
      <c r="O58" s="27"/>
      <c r="P58" s="41">
        <f>SUM(D58:O58)</f>
        <v>11434868.620000003</v>
      </c>
      <c r="Q58" s="27"/>
      <c r="R58" s="27"/>
    </row>
    <row r="59" spans="1:18" x14ac:dyDescent="0.25">
      <c r="A59" s="8" t="s">
        <v>63</v>
      </c>
      <c r="B59" s="38">
        <v>12955200</v>
      </c>
      <c r="C59" s="27">
        <f t="shared" si="19"/>
        <v>12955200</v>
      </c>
      <c r="D59" s="13"/>
      <c r="E59" s="13">
        <v>941817.55</v>
      </c>
      <c r="F59" s="13"/>
      <c r="G59" s="13"/>
      <c r="H59" s="13">
        <v>1257548.97</v>
      </c>
      <c r="I59" s="13">
        <v>485584.98</v>
      </c>
      <c r="J59" s="13">
        <v>119925</v>
      </c>
      <c r="K59" s="13"/>
      <c r="L59" s="13"/>
      <c r="M59" s="73">
        <v>368750</v>
      </c>
      <c r="O59" s="27"/>
      <c r="P59" s="41">
        <f>SUM(D59:O59)</f>
        <v>3173626.5</v>
      </c>
      <c r="Q59" s="27"/>
      <c r="R59" s="27"/>
    </row>
    <row r="60" spans="1:18" x14ac:dyDescent="0.25">
      <c r="A60" s="8" t="s">
        <v>64</v>
      </c>
      <c r="B60" s="38">
        <v>100000</v>
      </c>
      <c r="C60" s="27">
        <f t="shared" si="19"/>
        <v>100000</v>
      </c>
      <c r="D60" s="27"/>
      <c r="E60" s="27"/>
      <c r="F60" s="27"/>
      <c r="G60" s="27"/>
      <c r="H60" s="27"/>
      <c r="I60" s="27"/>
      <c r="J60" s="27"/>
      <c r="K60" s="27"/>
      <c r="L60" s="27"/>
      <c r="M60" s="27"/>
      <c r="O60" s="27"/>
      <c r="P60" s="27"/>
      <c r="Q60" s="27"/>
      <c r="R60" s="27"/>
    </row>
    <row r="61" spans="1:18" x14ac:dyDescent="0.25">
      <c r="A61" s="8" t="s">
        <v>65</v>
      </c>
      <c r="B61" s="38">
        <v>500000</v>
      </c>
      <c r="C61" s="27">
        <f t="shared" si="19"/>
        <v>500000</v>
      </c>
      <c r="D61" s="27"/>
      <c r="E61" s="27"/>
      <c r="F61" s="27"/>
      <c r="G61" s="27"/>
      <c r="H61" s="27"/>
      <c r="I61" s="27"/>
      <c r="J61" s="27"/>
      <c r="K61" s="27"/>
      <c r="L61" s="27"/>
      <c r="M61" s="27"/>
      <c r="O61" s="27"/>
      <c r="P61" s="27"/>
      <c r="Q61" s="27"/>
      <c r="R61" s="27"/>
    </row>
    <row r="62" spans="1:18" x14ac:dyDescent="0.25">
      <c r="A62" s="8" t="s">
        <v>66</v>
      </c>
      <c r="B62" s="38">
        <v>18100000</v>
      </c>
      <c r="C62" s="27">
        <f t="shared" si="19"/>
        <v>18100000</v>
      </c>
      <c r="D62" s="27"/>
      <c r="E62" s="25">
        <v>67496</v>
      </c>
      <c r="F62" s="27"/>
      <c r="G62" s="25">
        <v>228482.68</v>
      </c>
      <c r="H62" s="13">
        <v>134992</v>
      </c>
      <c r="I62" s="13">
        <v>62881.78</v>
      </c>
      <c r="J62" s="13"/>
      <c r="K62" s="27">
        <v>88482.3</v>
      </c>
      <c r="L62" s="27">
        <v>46197</v>
      </c>
      <c r="M62" s="27">
        <v>69201</v>
      </c>
      <c r="O62" s="27"/>
      <c r="P62" s="41">
        <f>SUM(D62:O62)</f>
        <v>697732.76</v>
      </c>
      <c r="Q62" s="27"/>
      <c r="R62" s="27"/>
    </row>
    <row r="63" spans="1:18" x14ac:dyDescent="0.25">
      <c r="A63" s="8" t="s">
        <v>67</v>
      </c>
      <c r="B63" s="38">
        <v>750000</v>
      </c>
      <c r="C63" s="27">
        <f t="shared" si="19"/>
        <v>750000</v>
      </c>
      <c r="D63" s="27"/>
      <c r="E63" s="27"/>
      <c r="F63" s="27"/>
      <c r="G63" s="27"/>
      <c r="H63" s="27"/>
      <c r="I63" s="27"/>
      <c r="J63" s="27"/>
      <c r="K63" s="27"/>
      <c r="L63" s="27"/>
      <c r="M63" s="27"/>
      <c r="O63" s="27"/>
      <c r="P63" s="27"/>
      <c r="Q63" s="27"/>
      <c r="R63" s="27"/>
    </row>
    <row r="64" spans="1:18" x14ac:dyDescent="0.25">
      <c r="A64" s="8" t="s">
        <v>68</v>
      </c>
      <c r="B64" s="38"/>
      <c r="C64" s="27">
        <f t="shared" si="19"/>
        <v>0</v>
      </c>
      <c r="D64" s="27"/>
      <c r="E64" s="27"/>
      <c r="F64" s="27"/>
      <c r="G64" s="27"/>
      <c r="H64" s="27"/>
      <c r="I64" s="27"/>
      <c r="J64" s="27"/>
      <c r="K64" s="27"/>
      <c r="L64" s="27"/>
      <c r="M64" s="27"/>
      <c r="O64" s="27"/>
      <c r="P64" s="27"/>
      <c r="Q64" s="27"/>
      <c r="R64" s="27"/>
    </row>
    <row r="65" spans="1:18" x14ac:dyDescent="0.25">
      <c r="A65" s="8" t="s">
        <v>69</v>
      </c>
      <c r="B65" s="38">
        <v>1500000</v>
      </c>
      <c r="C65" s="27">
        <f t="shared" si="19"/>
        <v>1500000</v>
      </c>
      <c r="D65" s="27"/>
      <c r="E65" s="27"/>
      <c r="F65" s="27"/>
      <c r="G65" s="27"/>
      <c r="H65" s="27"/>
      <c r="I65" s="27"/>
      <c r="J65" s="27"/>
      <c r="K65" s="27"/>
      <c r="L65" s="27"/>
      <c r="M65" s="27"/>
      <c r="O65" s="27"/>
      <c r="P65" s="27"/>
      <c r="Q65" s="27"/>
      <c r="R65" s="27"/>
    </row>
    <row r="66" spans="1:18" x14ac:dyDescent="0.25">
      <c r="A66" s="8" t="s">
        <v>70</v>
      </c>
      <c r="B66" s="38">
        <v>100000000</v>
      </c>
      <c r="C66" s="27">
        <f t="shared" si="19"/>
        <v>100000000</v>
      </c>
      <c r="D66" s="27"/>
      <c r="E66" s="27"/>
      <c r="F66" s="27"/>
      <c r="G66" s="27"/>
      <c r="H66" s="27"/>
      <c r="I66" s="27"/>
      <c r="J66" s="27"/>
      <c r="K66" s="27"/>
      <c r="L66" s="27"/>
      <c r="M66" s="27"/>
      <c r="O66" s="27"/>
      <c r="P66" s="27"/>
      <c r="Q66" s="27"/>
      <c r="R66" s="27"/>
    </row>
    <row r="67" spans="1:18" x14ac:dyDescent="0.25">
      <c r="A67" s="6" t="s">
        <v>71</v>
      </c>
      <c r="B67" s="24">
        <f>SUM(B68:B71)</f>
        <v>101300000</v>
      </c>
      <c r="C67" s="24">
        <f>SUM(C68:C71)</f>
        <v>103123695.83</v>
      </c>
      <c r="D67" s="24">
        <f t="shared" ref="D67:O67" si="20">SUM(D68:D71)</f>
        <v>3123695.82</v>
      </c>
      <c r="E67" s="24">
        <f t="shared" si="20"/>
        <v>0</v>
      </c>
      <c r="F67" s="24">
        <f t="shared" si="20"/>
        <v>0</v>
      </c>
      <c r="G67" s="24">
        <f t="shared" si="20"/>
        <v>0</v>
      </c>
      <c r="H67" s="24">
        <f t="shared" si="20"/>
        <v>0</v>
      </c>
      <c r="I67" s="24">
        <f>SUM(I68:I71)</f>
        <v>0</v>
      </c>
      <c r="J67" s="24">
        <f>SUM(J68:J71)</f>
        <v>0</v>
      </c>
      <c r="K67" s="24">
        <f>SUM(K68:K71)</f>
        <v>0</v>
      </c>
      <c r="L67" s="24">
        <f>SUM(L68:L71)</f>
        <v>0</v>
      </c>
      <c r="M67" s="24">
        <f>SUM(M68:M71)</f>
        <v>0</v>
      </c>
      <c r="O67" s="24">
        <f t="shared" si="20"/>
        <v>0</v>
      </c>
      <c r="P67" s="7">
        <f>SUM(D67:O67)</f>
        <v>3123695.82</v>
      </c>
      <c r="Q67" s="27"/>
      <c r="R67" s="27"/>
    </row>
    <row r="68" spans="1:18" x14ac:dyDescent="0.25">
      <c r="A68" s="8" t="s">
        <v>72</v>
      </c>
      <c r="B68" s="38">
        <v>100000000</v>
      </c>
      <c r="C68" s="27">
        <f>+B68</f>
        <v>100000000</v>
      </c>
      <c r="D68" s="27"/>
      <c r="E68" s="27"/>
      <c r="F68" s="27"/>
      <c r="G68" s="27"/>
      <c r="H68" s="27"/>
      <c r="I68" s="27"/>
      <c r="J68" s="27"/>
      <c r="K68" s="27"/>
      <c r="L68" s="27"/>
      <c r="M68" s="27"/>
      <c r="O68" s="27"/>
      <c r="P68" s="27"/>
      <c r="Q68" s="27"/>
      <c r="R68" s="27"/>
    </row>
    <row r="69" spans="1:18" x14ac:dyDescent="0.25">
      <c r="A69" s="8" t="s">
        <v>73</v>
      </c>
      <c r="B69" s="38">
        <v>1300000</v>
      </c>
      <c r="C69" s="27">
        <v>3123695.83</v>
      </c>
      <c r="D69" s="27">
        <v>3123695.82</v>
      </c>
      <c r="E69" s="27"/>
      <c r="F69" s="27"/>
      <c r="G69" s="27"/>
      <c r="H69" s="27"/>
      <c r="I69" s="27"/>
      <c r="J69" s="27"/>
      <c r="K69" s="27"/>
      <c r="L69" s="27"/>
      <c r="M69" s="27"/>
      <c r="O69" s="27"/>
      <c r="P69" s="27"/>
      <c r="Q69" s="27"/>
      <c r="R69" s="27"/>
    </row>
    <row r="70" spans="1:18" x14ac:dyDescent="0.25">
      <c r="A70" s="8" t="s">
        <v>74</v>
      </c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O70" s="27"/>
      <c r="P70" s="27"/>
      <c r="Q70" s="27"/>
      <c r="R70" s="27"/>
    </row>
    <row r="71" spans="1:18" ht="30" x14ac:dyDescent="0.25">
      <c r="A71" s="10" t="s">
        <v>75</v>
      </c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O71" s="27"/>
      <c r="P71" s="27"/>
      <c r="Q71" s="27"/>
      <c r="R71" s="27"/>
    </row>
    <row r="72" spans="1:18" x14ac:dyDescent="0.25">
      <c r="A72" s="6" t="s">
        <v>76</v>
      </c>
      <c r="B72" s="24">
        <f>SUM(B73:B74)</f>
        <v>0</v>
      </c>
      <c r="C72" s="24">
        <f t="shared" ref="C72:O72" si="21">SUM(C73:C74)</f>
        <v>0</v>
      </c>
      <c r="D72" s="24">
        <f t="shared" si="21"/>
        <v>0</v>
      </c>
      <c r="E72" s="24">
        <f t="shared" si="21"/>
        <v>0</v>
      </c>
      <c r="F72" s="24">
        <f t="shared" si="21"/>
        <v>0</v>
      </c>
      <c r="G72" s="24">
        <f t="shared" si="21"/>
        <v>0</v>
      </c>
      <c r="H72" s="24">
        <f t="shared" si="21"/>
        <v>0</v>
      </c>
      <c r="I72" s="24">
        <f>SUM(I73:I74)</f>
        <v>0</v>
      </c>
      <c r="J72" s="24">
        <f>SUM(J73:J74)</f>
        <v>0</v>
      </c>
      <c r="K72" s="24">
        <f>SUM(K73:K74)</f>
        <v>0</v>
      </c>
      <c r="L72" s="24">
        <f>SUM(L73:L74)</f>
        <v>0</v>
      </c>
      <c r="M72" s="24">
        <f>SUM(M73:M74)</f>
        <v>0</v>
      </c>
      <c r="O72" s="24">
        <f t="shared" si="21"/>
        <v>0</v>
      </c>
      <c r="P72" s="41">
        <f>SUM(D72:O72)</f>
        <v>0</v>
      </c>
      <c r="Q72" s="27"/>
      <c r="R72" s="27"/>
    </row>
    <row r="73" spans="1:18" x14ac:dyDescent="0.25">
      <c r="A73" s="8" t="s">
        <v>77</v>
      </c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O73" s="27"/>
      <c r="P73" s="27"/>
      <c r="Q73" s="27"/>
      <c r="R73" s="27"/>
    </row>
    <row r="74" spans="1:18" x14ac:dyDescent="0.25">
      <c r="A74" s="8" t="s">
        <v>78</v>
      </c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O74" s="27"/>
      <c r="P74" s="27"/>
      <c r="Q74" s="27"/>
      <c r="R74" s="27"/>
    </row>
    <row r="75" spans="1:18" x14ac:dyDescent="0.25">
      <c r="A75" s="6" t="s">
        <v>79</v>
      </c>
      <c r="B75" s="24">
        <f>SUM(B76:B78)</f>
        <v>0</v>
      </c>
      <c r="C75" s="24">
        <f t="shared" ref="C75:O75" si="22">SUM(C76:C78)</f>
        <v>0</v>
      </c>
      <c r="D75" s="24">
        <f t="shared" si="22"/>
        <v>0</v>
      </c>
      <c r="E75" s="24">
        <f t="shared" si="22"/>
        <v>0</v>
      </c>
      <c r="F75" s="24">
        <f t="shared" si="22"/>
        <v>0</v>
      </c>
      <c r="G75" s="24">
        <f t="shared" si="22"/>
        <v>0</v>
      </c>
      <c r="H75" s="24">
        <f t="shared" si="22"/>
        <v>0</v>
      </c>
      <c r="I75" s="24">
        <f>SUM(I76:I78)</f>
        <v>0</v>
      </c>
      <c r="J75" s="24">
        <f>SUM(J76:J78)</f>
        <v>0</v>
      </c>
      <c r="K75" s="24">
        <f>SUM(K76:K78)</f>
        <v>0</v>
      </c>
      <c r="L75" s="24">
        <f>SUM(L76:L78)</f>
        <v>0</v>
      </c>
      <c r="M75" s="24">
        <f>SUM(M76:M78)</f>
        <v>0</v>
      </c>
      <c r="O75" s="24">
        <f t="shared" si="22"/>
        <v>0</v>
      </c>
      <c r="P75" s="41">
        <f>SUM(D75:O75)</f>
        <v>0</v>
      </c>
      <c r="Q75" s="27"/>
      <c r="R75" s="27"/>
    </row>
    <row r="76" spans="1:18" x14ac:dyDescent="0.25">
      <c r="A76" s="8" t="s">
        <v>80</v>
      </c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O76" s="27"/>
      <c r="P76" s="27"/>
      <c r="Q76" s="27"/>
      <c r="R76" s="27"/>
    </row>
    <row r="77" spans="1:18" x14ac:dyDescent="0.25">
      <c r="A77" s="8" t="s">
        <v>81</v>
      </c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O77" s="27"/>
      <c r="P77" s="27"/>
      <c r="Q77" s="27"/>
      <c r="R77" s="27"/>
    </row>
    <row r="78" spans="1:18" x14ac:dyDescent="0.25">
      <c r="A78" s="8" t="s">
        <v>82</v>
      </c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O78" s="27"/>
      <c r="P78" s="27"/>
      <c r="Q78" s="27"/>
      <c r="R78" s="27"/>
    </row>
    <row r="79" spans="1:18" x14ac:dyDescent="0.25">
      <c r="A79" s="4" t="s">
        <v>83</v>
      </c>
      <c r="B79" s="39">
        <f>SUM(B86+B83+B80)</f>
        <v>0</v>
      </c>
      <c r="C79" s="39">
        <f t="shared" ref="C79:O79" si="23">SUM(C86+C83+C80)</f>
        <v>0</v>
      </c>
      <c r="D79" s="39">
        <f t="shared" si="23"/>
        <v>0</v>
      </c>
      <c r="E79" s="39">
        <f t="shared" si="23"/>
        <v>0</v>
      </c>
      <c r="F79" s="39">
        <f t="shared" si="23"/>
        <v>0</v>
      </c>
      <c r="G79" s="39">
        <f t="shared" si="23"/>
        <v>0</v>
      </c>
      <c r="H79" s="39">
        <f t="shared" si="23"/>
        <v>0</v>
      </c>
      <c r="I79" s="39">
        <f>SUM(I86+I83+I80)</f>
        <v>0</v>
      </c>
      <c r="J79" s="39">
        <f>SUM(J86+J83+J80)</f>
        <v>0</v>
      </c>
      <c r="K79" s="39">
        <f>SUM(K86+K83+K80)</f>
        <v>0</v>
      </c>
      <c r="L79" s="39">
        <f>SUM(L86+L83+L80)</f>
        <v>0</v>
      </c>
      <c r="M79" s="39">
        <f>SUM(M86+M83+M80)</f>
        <v>0</v>
      </c>
      <c r="O79" s="39">
        <f t="shared" si="23"/>
        <v>0</v>
      </c>
      <c r="P79" s="41">
        <f>SUM(D79:O79)</f>
        <v>0</v>
      </c>
      <c r="Q79" s="27"/>
      <c r="R79" s="27"/>
    </row>
    <row r="80" spans="1:18" x14ac:dyDescent="0.25">
      <c r="A80" s="6" t="s">
        <v>84</v>
      </c>
      <c r="B80" s="24"/>
      <c r="C80" s="24"/>
      <c r="D80" s="27"/>
      <c r="E80" s="27"/>
      <c r="F80" s="27"/>
      <c r="G80" s="27"/>
      <c r="H80" s="27"/>
      <c r="I80" s="27"/>
      <c r="J80" s="27"/>
      <c r="K80" s="27"/>
      <c r="L80" s="27"/>
      <c r="M80" s="27"/>
      <c r="O80" s="27"/>
      <c r="P80" s="27"/>
      <c r="Q80" s="27"/>
      <c r="R80" s="27"/>
    </row>
    <row r="81" spans="1:18" x14ac:dyDescent="0.25">
      <c r="A81" s="8" t="s">
        <v>85</v>
      </c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O81" s="27"/>
      <c r="P81" s="27"/>
      <c r="Q81" s="27"/>
      <c r="R81" s="27"/>
    </row>
    <row r="82" spans="1:18" x14ac:dyDescent="0.25">
      <c r="A82" s="8" t="s">
        <v>86</v>
      </c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O82" s="27"/>
      <c r="P82" s="27"/>
      <c r="Q82" s="27"/>
      <c r="R82" s="27"/>
    </row>
    <row r="83" spans="1:18" x14ac:dyDescent="0.25">
      <c r="A83" s="6" t="s">
        <v>87</v>
      </c>
      <c r="B83" s="24"/>
      <c r="C83" s="24"/>
      <c r="D83" s="27"/>
      <c r="E83" s="27"/>
      <c r="F83" s="27"/>
      <c r="G83" s="27"/>
      <c r="H83" s="27"/>
      <c r="I83" s="27"/>
      <c r="J83" s="27"/>
      <c r="K83" s="27"/>
      <c r="L83" s="27"/>
      <c r="M83" s="27"/>
      <c r="O83" s="27"/>
      <c r="P83" s="27"/>
      <c r="Q83" s="27"/>
      <c r="R83" s="27"/>
    </row>
    <row r="84" spans="1:18" x14ac:dyDescent="0.25">
      <c r="A84" s="8" t="s">
        <v>88</v>
      </c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O84" s="27"/>
      <c r="P84" s="27"/>
      <c r="Q84" s="27"/>
      <c r="R84" s="27"/>
    </row>
    <row r="85" spans="1:18" x14ac:dyDescent="0.25">
      <c r="A85" s="8" t="s">
        <v>89</v>
      </c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O85" s="27"/>
      <c r="P85" s="27"/>
      <c r="Q85" s="27"/>
      <c r="R85" s="27"/>
    </row>
    <row r="86" spans="1:18" x14ac:dyDescent="0.25">
      <c r="A86" s="6" t="s">
        <v>90</v>
      </c>
      <c r="B86" s="24"/>
      <c r="C86" s="24"/>
      <c r="D86" s="27"/>
      <c r="E86" s="27"/>
      <c r="F86" s="27"/>
      <c r="G86" s="27"/>
      <c r="H86" s="27"/>
      <c r="I86" s="27"/>
      <c r="J86" s="27"/>
      <c r="K86" s="27"/>
      <c r="L86" s="27"/>
      <c r="M86" s="27"/>
      <c r="O86" s="27"/>
      <c r="P86" s="27"/>
      <c r="Q86" s="27"/>
      <c r="R86" s="27"/>
    </row>
    <row r="87" spans="1:18" x14ac:dyDescent="0.25">
      <c r="A87" s="8" t="s">
        <v>91</v>
      </c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O87" s="27"/>
      <c r="P87" s="27"/>
      <c r="Q87" s="27"/>
      <c r="R87" s="27"/>
    </row>
    <row r="88" spans="1:18" s="23" customFormat="1" x14ac:dyDescent="0.25">
      <c r="A88" s="18" t="s">
        <v>95</v>
      </c>
      <c r="B88" s="24">
        <f>+B89+B92</f>
        <v>1018715219</v>
      </c>
      <c r="C88" s="24">
        <f>+C89+C92</f>
        <v>1018715219</v>
      </c>
      <c r="D88" s="24">
        <f>+D89+D92</f>
        <v>88847862.069999993</v>
      </c>
      <c r="E88" s="24">
        <f t="shared" ref="E88:I88" si="24">+E89+E92</f>
        <v>83011281.599999994</v>
      </c>
      <c r="F88" s="24">
        <f t="shared" si="24"/>
        <v>72277398.920000002</v>
      </c>
      <c r="G88" s="24">
        <f t="shared" si="24"/>
        <v>94050469.790000007</v>
      </c>
      <c r="H88" s="24">
        <f>+H89+H92</f>
        <v>85896422.540000007</v>
      </c>
      <c r="I88" s="24">
        <f t="shared" si="24"/>
        <v>92490719.150000006</v>
      </c>
      <c r="J88" s="24">
        <f>+J89+J92</f>
        <v>91279394.109999999</v>
      </c>
      <c r="K88" s="24">
        <f>+K89+K92</f>
        <v>103160861.36</v>
      </c>
      <c r="L88" s="24">
        <f>+L89+L92</f>
        <v>85926376.569999993</v>
      </c>
      <c r="M88" s="24">
        <f>+M89+M92</f>
        <v>91203053.799999997</v>
      </c>
      <c r="O88" s="24">
        <f t="shared" ref="O88" si="25">+O89+O92</f>
        <v>0</v>
      </c>
      <c r="P88" s="7">
        <f t="shared" ref="P88:P109" si="26">SUM(D88:O88)</f>
        <v>888143839.91000009</v>
      </c>
      <c r="Q88" s="24"/>
      <c r="R88" s="24"/>
    </row>
    <row r="89" spans="1:18" s="23" customFormat="1" x14ac:dyDescent="0.25">
      <c r="A89" s="19" t="s">
        <v>19</v>
      </c>
      <c r="B89" s="24">
        <f>+B90+B91</f>
        <v>811715219</v>
      </c>
      <c r="C89" s="24">
        <f>SUM(C90:C91)</f>
        <v>811715219</v>
      </c>
      <c r="D89" s="24">
        <f>+D90+D91</f>
        <v>67642934.920000002</v>
      </c>
      <c r="E89" s="24">
        <f t="shared" ref="E89:H89" si="27">+E90+E91</f>
        <v>67642934.920000002</v>
      </c>
      <c r="F89" s="24">
        <f t="shared" si="27"/>
        <v>67642934.920000002</v>
      </c>
      <c r="G89" s="24">
        <f t="shared" si="27"/>
        <v>67642934.920000002</v>
      </c>
      <c r="H89" s="24">
        <f t="shared" si="27"/>
        <v>67642934.920000002</v>
      </c>
      <c r="I89" s="24">
        <f>+I90+I91</f>
        <v>67642934.920000002</v>
      </c>
      <c r="J89" s="24">
        <f>+J90+J91</f>
        <v>67642934.920000002</v>
      </c>
      <c r="K89" s="24">
        <f>+K90+K91</f>
        <v>67642934.920000002</v>
      </c>
      <c r="L89" s="24">
        <f>+L90+L91</f>
        <v>67642934.920000002</v>
      </c>
      <c r="M89" s="24">
        <f>+M90+M91</f>
        <v>67642934.920000002</v>
      </c>
      <c r="O89" s="24"/>
      <c r="P89" s="7">
        <f t="shared" si="26"/>
        <v>676429349.19999993</v>
      </c>
      <c r="Q89" s="24"/>
      <c r="R89" s="24"/>
    </row>
    <row r="90" spans="1:18" x14ac:dyDescent="0.25">
      <c r="A90" s="16" t="s">
        <v>96</v>
      </c>
      <c r="B90" s="27">
        <v>400715219</v>
      </c>
      <c r="C90" s="27">
        <f>+B90</f>
        <v>400715219</v>
      </c>
      <c r="D90" s="27">
        <v>33392934.920000002</v>
      </c>
      <c r="E90" s="27">
        <v>33392934.920000002</v>
      </c>
      <c r="F90" s="27">
        <v>33392934.920000002</v>
      </c>
      <c r="G90" s="27">
        <v>33392934.920000002</v>
      </c>
      <c r="H90" s="27">
        <f>+G90</f>
        <v>33392934.920000002</v>
      </c>
      <c r="I90" s="27">
        <v>33392934.920000002</v>
      </c>
      <c r="J90" s="27">
        <v>33392934.920000002</v>
      </c>
      <c r="K90" s="27">
        <v>33392934.920000002</v>
      </c>
      <c r="L90" s="27">
        <v>33392934.920000002</v>
      </c>
      <c r="M90" s="27">
        <v>33392934.920000002</v>
      </c>
      <c r="O90" s="27"/>
      <c r="P90" s="41">
        <f t="shared" si="26"/>
        <v>333929349.20000011</v>
      </c>
      <c r="Q90" s="27"/>
      <c r="R90" s="27"/>
    </row>
    <row r="91" spans="1:18" x14ac:dyDescent="0.25">
      <c r="A91" s="16" t="s">
        <v>24</v>
      </c>
      <c r="B91" s="30">
        <v>411000000</v>
      </c>
      <c r="C91" s="27">
        <f>+B91</f>
        <v>411000000</v>
      </c>
      <c r="D91" s="27">
        <v>34250000</v>
      </c>
      <c r="E91" s="27">
        <v>34250000</v>
      </c>
      <c r="F91" s="27">
        <v>34250000</v>
      </c>
      <c r="G91" s="27">
        <v>34250000</v>
      </c>
      <c r="H91" s="27">
        <v>34250000</v>
      </c>
      <c r="I91" s="27">
        <v>34250000</v>
      </c>
      <c r="J91" s="27">
        <v>34250000</v>
      </c>
      <c r="K91" s="27">
        <v>34250000</v>
      </c>
      <c r="L91" s="27">
        <v>34250000</v>
      </c>
      <c r="M91" s="27">
        <v>34250000</v>
      </c>
      <c r="O91" s="27"/>
      <c r="P91" s="41">
        <f t="shared" si="26"/>
        <v>342500000</v>
      </c>
      <c r="Q91" s="27"/>
      <c r="R91" s="27"/>
    </row>
    <row r="92" spans="1:18" s="23" customFormat="1" x14ac:dyDescent="0.25">
      <c r="A92" s="19" t="s">
        <v>25</v>
      </c>
      <c r="B92" s="24">
        <f>+B93</f>
        <v>207000000</v>
      </c>
      <c r="C92" s="24">
        <f>+C93</f>
        <v>207000000</v>
      </c>
      <c r="D92" s="24">
        <f>+D93</f>
        <v>21204927.149999999</v>
      </c>
      <c r="E92" s="24">
        <f t="shared" ref="E92:H92" si="28">+E93</f>
        <v>15368346.68</v>
      </c>
      <c r="F92" s="24">
        <f t="shared" si="28"/>
        <v>4634464</v>
      </c>
      <c r="G92" s="24">
        <f t="shared" si="28"/>
        <v>26407534.870000001</v>
      </c>
      <c r="H92" s="24">
        <f t="shared" si="28"/>
        <v>18253487.620000001</v>
      </c>
      <c r="I92" s="24">
        <f>+I93</f>
        <v>24847784.23</v>
      </c>
      <c r="J92" s="24">
        <f>+J93</f>
        <v>23636459.190000001</v>
      </c>
      <c r="K92" s="24">
        <f>+K93</f>
        <v>35517926.439999998</v>
      </c>
      <c r="L92" s="24">
        <f>+L93</f>
        <v>18283441.649999999</v>
      </c>
      <c r="M92" s="24">
        <f>+M93</f>
        <v>23560118.879999999</v>
      </c>
      <c r="O92" s="24"/>
      <c r="P92" s="7">
        <f t="shared" si="26"/>
        <v>211714490.71000001</v>
      </c>
      <c r="Q92" s="24"/>
      <c r="R92" s="24"/>
    </row>
    <row r="93" spans="1:18" x14ac:dyDescent="0.25">
      <c r="A93" s="16" t="s">
        <v>28</v>
      </c>
      <c r="B93" s="27">
        <v>207000000</v>
      </c>
      <c r="C93" s="27">
        <f>+B93</f>
        <v>207000000</v>
      </c>
      <c r="D93" s="25">
        <v>21204927.149999999</v>
      </c>
      <c r="E93" s="25">
        <v>15368346.68</v>
      </c>
      <c r="F93" s="25">
        <v>4634464</v>
      </c>
      <c r="G93" s="25">
        <v>26407534.870000001</v>
      </c>
      <c r="H93" s="13">
        <v>18253487.620000001</v>
      </c>
      <c r="I93" s="25">
        <v>24847784.23</v>
      </c>
      <c r="J93" s="28">
        <v>23636459.190000001</v>
      </c>
      <c r="K93" s="28">
        <v>35517926.439999998</v>
      </c>
      <c r="L93" s="26">
        <v>18283441.649999999</v>
      </c>
      <c r="M93" s="29">
        <v>23560118.879999999</v>
      </c>
      <c r="O93" s="27"/>
      <c r="P93" s="41">
        <f t="shared" si="26"/>
        <v>211714490.71000001</v>
      </c>
      <c r="Q93" s="27"/>
      <c r="R93" s="27"/>
    </row>
    <row r="94" spans="1:18" x14ac:dyDescent="0.25">
      <c r="A94" s="18" t="s">
        <v>97</v>
      </c>
      <c r="B94" s="24">
        <f>+B95+B99+B104+B106+B108</f>
        <v>192942131</v>
      </c>
      <c r="C94" s="24">
        <f>+C95+C99+C104+C106+C108</f>
        <v>192942131</v>
      </c>
      <c r="D94" s="24">
        <f>+D95+D99+D104+D106+D108</f>
        <v>15924052.503333334</v>
      </c>
      <c r="E94" s="24">
        <f t="shared" ref="E94:H94" si="29">+E95+E99+E104+E106+E108</f>
        <v>15995440.876333334</v>
      </c>
      <c r="F94" s="24">
        <f>+F95+F99+F104+F106+F108</f>
        <v>16130285.590000004</v>
      </c>
      <c r="G94" s="24">
        <f t="shared" si="29"/>
        <v>15844732.083333334</v>
      </c>
      <c r="H94" s="24">
        <f t="shared" si="29"/>
        <v>16095350.213333335</v>
      </c>
      <c r="I94" s="24">
        <f>+I95+I99+I104+I106+I108</f>
        <v>15844732.083333334</v>
      </c>
      <c r="J94" s="24">
        <f>+J95+J99+J104+J106+J108</f>
        <v>15916120.463333335</v>
      </c>
      <c r="K94" s="24">
        <f>+K95+K99+K104+K106+K108</f>
        <v>16098557.436666667</v>
      </c>
      <c r="L94" s="24">
        <f>+L95+L99+L104+L106+L108</f>
        <v>15955780.676666668</v>
      </c>
      <c r="M94" s="24">
        <f>+M95+M99+M104+M106+M108-0.01</f>
        <v>16193741.896666668</v>
      </c>
      <c r="O94" s="27"/>
      <c r="P94" s="7">
        <f t="shared" si="26"/>
        <v>159998793.82300001</v>
      </c>
      <c r="Q94" s="27"/>
      <c r="R94" s="27"/>
    </row>
    <row r="95" spans="1:18" x14ac:dyDescent="0.25">
      <c r="A95" s="19" t="s">
        <v>19</v>
      </c>
      <c r="B95" s="24">
        <f>SUM(B96:B98)</f>
        <v>41309809</v>
      </c>
      <c r="C95" s="24">
        <f>SUM(C96:C98)</f>
        <v>41309809</v>
      </c>
      <c r="D95" s="24">
        <f t="shared" ref="D95:H95" si="30">SUM(D96:D98)</f>
        <v>3442484.0833333335</v>
      </c>
      <c r="E95" s="24">
        <f t="shared" si="30"/>
        <v>3442484.0833333335</v>
      </c>
      <c r="F95" s="24">
        <f t="shared" si="30"/>
        <v>3442484.0833333335</v>
      </c>
      <c r="G95" s="24">
        <f t="shared" si="30"/>
        <v>3442484.0833333335</v>
      </c>
      <c r="H95" s="24">
        <f t="shared" si="30"/>
        <v>3442484.0833333335</v>
      </c>
      <c r="I95" s="24">
        <f>SUM(I96:I98)</f>
        <v>3442484.0833333335</v>
      </c>
      <c r="J95" s="24">
        <f>SUM(J96:J98)</f>
        <v>3442484.0833333335</v>
      </c>
      <c r="K95" s="24">
        <f>SUM(K96:K98)</f>
        <v>3442484.0833333335</v>
      </c>
      <c r="L95" s="24">
        <f>SUM(L96:L98)</f>
        <v>3442484.0833333335</v>
      </c>
      <c r="M95" s="24">
        <f>SUM(M96:M98)</f>
        <v>3442484.0833333335</v>
      </c>
      <c r="O95" s="27"/>
      <c r="P95" s="7">
        <f t="shared" si="26"/>
        <v>34424840.833333328</v>
      </c>
      <c r="Q95" s="27"/>
      <c r="R95" s="27"/>
    </row>
    <row r="96" spans="1:18" x14ac:dyDescent="0.25">
      <c r="A96" s="16" t="s">
        <v>20</v>
      </c>
      <c r="B96" s="27">
        <v>31506316</v>
      </c>
      <c r="C96" s="27">
        <v>31506316</v>
      </c>
      <c r="D96" s="13">
        <v>2625526.3333333335</v>
      </c>
      <c r="E96" s="13">
        <v>2625526.3333333335</v>
      </c>
      <c r="F96" s="13">
        <v>2625526.3333333335</v>
      </c>
      <c r="G96" s="13">
        <v>2625526.3333333335</v>
      </c>
      <c r="H96" s="13">
        <v>2625526.3333333335</v>
      </c>
      <c r="I96" s="13">
        <v>2625526.3333333335</v>
      </c>
      <c r="J96" s="13">
        <v>2625526.3333333335</v>
      </c>
      <c r="K96" s="13">
        <v>2625526.3333333335</v>
      </c>
      <c r="L96" s="13">
        <v>2625526.3333333335</v>
      </c>
      <c r="M96" s="13">
        <v>2625526.3333333335</v>
      </c>
      <c r="O96" s="27"/>
      <c r="P96" s="41">
        <f t="shared" si="26"/>
        <v>26255263.333333332</v>
      </c>
      <c r="Q96" s="27"/>
      <c r="R96" s="27"/>
    </row>
    <row r="97" spans="1:18" x14ac:dyDescent="0.25">
      <c r="A97" s="16" t="s">
        <v>21</v>
      </c>
      <c r="B97" s="27">
        <v>2625693</v>
      </c>
      <c r="C97" s="27">
        <v>2625693</v>
      </c>
      <c r="D97" s="13">
        <v>218807.75</v>
      </c>
      <c r="E97" s="13">
        <v>218807.75</v>
      </c>
      <c r="F97" s="13">
        <v>218807.75</v>
      </c>
      <c r="G97" s="13">
        <v>218807.75</v>
      </c>
      <c r="H97" s="13">
        <v>218807.75</v>
      </c>
      <c r="I97" s="13">
        <v>218807.75</v>
      </c>
      <c r="J97" s="13">
        <v>218807.75</v>
      </c>
      <c r="K97" s="13">
        <v>218807.75</v>
      </c>
      <c r="L97" s="13">
        <v>218807.75</v>
      </c>
      <c r="M97" s="13">
        <v>218807.75</v>
      </c>
      <c r="O97" s="27"/>
      <c r="P97" s="41">
        <f t="shared" si="26"/>
        <v>2188077.5</v>
      </c>
      <c r="Q97" s="27"/>
      <c r="R97" s="27"/>
    </row>
    <row r="98" spans="1:18" x14ac:dyDescent="0.25">
      <c r="A98" s="16" t="s">
        <v>24</v>
      </c>
      <c r="B98" s="27">
        <v>7177800</v>
      </c>
      <c r="C98" s="27">
        <v>7177800</v>
      </c>
      <c r="D98" s="13">
        <v>598150</v>
      </c>
      <c r="E98" s="13">
        <v>598150</v>
      </c>
      <c r="F98" s="13">
        <v>598150</v>
      </c>
      <c r="G98" s="13">
        <v>598150</v>
      </c>
      <c r="H98" s="13">
        <v>598150</v>
      </c>
      <c r="I98" s="13">
        <v>598150</v>
      </c>
      <c r="J98" s="13">
        <v>598150</v>
      </c>
      <c r="K98" s="13">
        <v>598150</v>
      </c>
      <c r="L98" s="13">
        <v>598150</v>
      </c>
      <c r="M98" s="13">
        <v>598150</v>
      </c>
      <c r="O98" s="27"/>
      <c r="P98" s="41">
        <f t="shared" si="26"/>
        <v>5981500</v>
      </c>
      <c r="Q98" s="27"/>
      <c r="R98" s="27"/>
    </row>
    <row r="99" spans="1:18" x14ac:dyDescent="0.25">
      <c r="A99" s="19" t="s">
        <v>25</v>
      </c>
      <c r="B99" s="24">
        <f>SUM(B100:B103)</f>
        <v>46428360</v>
      </c>
      <c r="C99" s="24">
        <f>SUM(C100:C103)</f>
        <v>46428360</v>
      </c>
      <c r="D99" s="24">
        <f t="shared" ref="D99:H99" si="31">SUM(D100:D103)</f>
        <v>3869030</v>
      </c>
      <c r="E99" s="24">
        <f t="shared" si="31"/>
        <v>3869030</v>
      </c>
      <c r="F99" s="24">
        <f t="shared" si="31"/>
        <v>3869030</v>
      </c>
      <c r="G99" s="24">
        <f t="shared" si="31"/>
        <v>3869030</v>
      </c>
      <c r="H99" s="24">
        <f t="shared" si="31"/>
        <v>3869030</v>
      </c>
      <c r="I99" s="24">
        <f>SUM(I100:I103)</f>
        <v>3869030</v>
      </c>
      <c r="J99" s="24">
        <f>SUM(J100:J103)</f>
        <v>3869030</v>
      </c>
      <c r="K99" s="24">
        <f>SUM(K100:K103)</f>
        <v>3869030.0033333334</v>
      </c>
      <c r="L99" s="24">
        <f>SUM(L100:L103)</f>
        <v>3869030.1033333335</v>
      </c>
      <c r="M99" s="24">
        <f>SUM(M100:M103)</f>
        <v>3869030.1033333335</v>
      </c>
      <c r="O99" s="27"/>
      <c r="P99" s="7">
        <f t="shared" si="26"/>
        <v>38690300.210000001</v>
      </c>
      <c r="Q99" s="27"/>
      <c r="R99" s="27"/>
    </row>
    <row r="100" spans="1:18" x14ac:dyDescent="0.25">
      <c r="A100" s="16" t="s">
        <v>26</v>
      </c>
      <c r="B100" s="27">
        <v>851908</v>
      </c>
      <c r="C100" s="27">
        <v>851908</v>
      </c>
      <c r="D100" s="27">
        <v>70992.333333333328</v>
      </c>
      <c r="E100" s="27">
        <v>70992.333333333328</v>
      </c>
      <c r="F100" s="27">
        <v>70992.333333333328</v>
      </c>
      <c r="G100" s="27">
        <v>70992.333333333328</v>
      </c>
      <c r="H100" s="27">
        <v>70992.333333333299</v>
      </c>
      <c r="I100" s="27">
        <v>70992.333333333299</v>
      </c>
      <c r="J100" s="27">
        <v>70992.333333333299</v>
      </c>
      <c r="K100" s="27">
        <v>70992.333333333299</v>
      </c>
      <c r="L100" s="27">
        <v>70992.333333333328</v>
      </c>
      <c r="M100" s="27">
        <v>70992.333333333328</v>
      </c>
      <c r="O100" s="27"/>
      <c r="P100" s="41">
        <f t="shared" si="26"/>
        <v>709923.33333333326</v>
      </c>
      <c r="Q100" s="27"/>
      <c r="R100" s="27"/>
    </row>
    <row r="101" spans="1:18" x14ac:dyDescent="0.25">
      <c r="A101" s="16" t="s">
        <v>28</v>
      </c>
      <c r="B101" s="27">
        <v>11000000</v>
      </c>
      <c r="C101" s="27">
        <v>11000000</v>
      </c>
      <c r="D101" s="27">
        <v>916666.66666666663</v>
      </c>
      <c r="E101" s="27">
        <v>916666.66666666663</v>
      </c>
      <c r="F101" s="27">
        <v>916666.66666666663</v>
      </c>
      <c r="G101" s="27">
        <v>916666.66666666663</v>
      </c>
      <c r="H101" s="27">
        <v>916666.66666666663</v>
      </c>
      <c r="I101" s="27">
        <v>916666.66666666663</v>
      </c>
      <c r="J101" s="27">
        <v>916666.66666666663</v>
      </c>
      <c r="K101" s="27">
        <v>916666.67</v>
      </c>
      <c r="L101" s="27">
        <v>916666.67</v>
      </c>
      <c r="M101" s="27">
        <v>916666.67</v>
      </c>
      <c r="O101" s="27"/>
      <c r="P101" s="41">
        <f t="shared" si="26"/>
        <v>9166666.6766666677</v>
      </c>
      <c r="Q101" s="27"/>
      <c r="R101" s="27"/>
    </row>
    <row r="102" spans="1:18" x14ac:dyDescent="0.25">
      <c r="A102" s="16" t="s">
        <v>30</v>
      </c>
      <c r="B102" s="27">
        <v>459195</v>
      </c>
      <c r="C102" s="27">
        <v>459195</v>
      </c>
      <c r="D102" s="27">
        <v>38266.25</v>
      </c>
      <c r="E102" s="27">
        <v>38266.25</v>
      </c>
      <c r="F102" s="27">
        <v>38266.25</v>
      </c>
      <c r="G102" s="27">
        <v>38266.25</v>
      </c>
      <c r="H102" s="27">
        <v>38266.25</v>
      </c>
      <c r="I102" s="27">
        <v>38266.25</v>
      </c>
      <c r="J102" s="27">
        <v>38266.25</v>
      </c>
      <c r="K102" s="27">
        <v>38266.25</v>
      </c>
      <c r="L102" s="27">
        <v>38266.25</v>
      </c>
      <c r="M102" s="27">
        <v>38266.25</v>
      </c>
      <c r="O102" s="27"/>
      <c r="P102" s="41">
        <f t="shared" si="26"/>
        <v>382662.5</v>
      </c>
      <c r="Q102" s="27"/>
      <c r="R102" s="27"/>
    </row>
    <row r="103" spans="1:18" ht="15.75" thickBot="1" x14ac:dyDescent="0.3">
      <c r="A103" s="20" t="s">
        <v>33</v>
      </c>
      <c r="B103" s="27">
        <v>34117257</v>
      </c>
      <c r="C103" s="27">
        <v>34117257</v>
      </c>
      <c r="D103" s="27">
        <v>2843104.75</v>
      </c>
      <c r="E103" s="27">
        <v>2843104.75</v>
      </c>
      <c r="F103" s="27">
        <v>2843104.75</v>
      </c>
      <c r="G103" s="27">
        <v>2843104.75</v>
      </c>
      <c r="H103" s="27">
        <v>2843104.75</v>
      </c>
      <c r="I103" s="27">
        <v>2843104.75</v>
      </c>
      <c r="J103" s="27">
        <v>2843104.75</v>
      </c>
      <c r="K103" s="27">
        <v>2843104.75</v>
      </c>
      <c r="L103" s="27">
        <v>2843104.85</v>
      </c>
      <c r="M103" s="27">
        <v>2843104.85</v>
      </c>
      <c r="O103" s="27">
        <v>0</v>
      </c>
      <c r="P103" s="41">
        <f t="shared" si="26"/>
        <v>28431047.700000003</v>
      </c>
      <c r="Q103" s="27">
        <v>0</v>
      </c>
      <c r="R103" s="27"/>
    </row>
    <row r="104" spans="1:18" ht="15.75" thickBot="1" x14ac:dyDescent="0.3">
      <c r="A104" s="17" t="s">
        <v>35</v>
      </c>
      <c r="B104" s="24">
        <f>+B105</f>
        <v>2844000</v>
      </c>
      <c r="C104" s="24">
        <f>+C105</f>
        <v>2844000</v>
      </c>
      <c r="D104" s="24">
        <f t="shared" ref="D104:O104" si="32">+D105</f>
        <v>237000</v>
      </c>
      <c r="E104" s="24">
        <f t="shared" si="32"/>
        <v>237000</v>
      </c>
      <c r="F104" s="24">
        <f t="shared" si="32"/>
        <v>237000</v>
      </c>
      <c r="G104" s="24">
        <f t="shared" si="32"/>
        <v>237000</v>
      </c>
      <c r="H104" s="24">
        <f t="shared" si="32"/>
        <v>237000</v>
      </c>
      <c r="I104" s="24">
        <f>+I105</f>
        <v>237000</v>
      </c>
      <c r="J104" s="24">
        <f>+J105</f>
        <v>237000</v>
      </c>
      <c r="K104" s="24">
        <f>+K105</f>
        <v>237000</v>
      </c>
      <c r="L104" s="24">
        <f>+L105</f>
        <v>237000</v>
      </c>
      <c r="M104" s="24">
        <f>+M105</f>
        <v>237000</v>
      </c>
      <c r="O104" s="24">
        <f t="shared" si="32"/>
        <v>0</v>
      </c>
      <c r="P104" s="7">
        <f t="shared" si="26"/>
        <v>2370000</v>
      </c>
      <c r="Q104" s="27"/>
      <c r="R104" s="27"/>
    </row>
    <row r="105" spans="1:18" x14ac:dyDescent="0.25">
      <c r="A105" s="16" t="s">
        <v>42</v>
      </c>
      <c r="B105" s="27">
        <v>2844000</v>
      </c>
      <c r="C105" s="27">
        <v>2844000</v>
      </c>
      <c r="D105" s="13">
        <v>237000</v>
      </c>
      <c r="E105" s="13">
        <v>237000</v>
      </c>
      <c r="F105" s="13">
        <v>237000</v>
      </c>
      <c r="G105" s="13">
        <v>237000</v>
      </c>
      <c r="H105" s="13">
        <v>237000</v>
      </c>
      <c r="I105" s="13">
        <v>237000</v>
      </c>
      <c r="J105" s="13">
        <v>237000</v>
      </c>
      <c r="K105" s="13">
        <v>237000</v>
      </c>
      <c r="L105" s="13">
        <v>237000</v>
      </c>
      <c r="M105" s="27">
        <v>237000</v>
      </c>
      <c r="O105" s="27"/>
      <c r="P105" s="41">
        <f t="shared" si="26"/>
        <v>2370000</v>
      </c>
      <c r="Q105" s="27"/>
      <c r="R105" s="27"/>
    </row>
    <row r="106" spans="1:18" x14ac:dyDescent="0.25">
      <c r="A106" s="21" t="s">
        <v>45</v>
      </c>
      <c r="B106" s="24">
        <f>+B107</f>
        <v>100749814</v>
      </c>
      <c r="C106" s="24">
        <f>+C107</f>
        <v>100749814</v>
      </c>
      <c r="D106" s="24">
        <f t="shared" ref="D106:H106" si="33">+D107</f>
        <v>8241359.4199999999</v>
      </c>
      <c r="E106" s="24">
        <f t="shared" si="33"/>
        <v>8312747.7929999996</v>
      </c>
      <c r="F106" s="24">
        <f t="shared" si="33"/>
        <v>8581771.5066666696</v>
      </c>
      <c r="G106" s="24">
        <f t="shared" si="33"/>
        <v>8162039</v>
      </c>
      <c r="H106" s="24">
        <f t="shared" si="33"/>
        <v>8412657.1300000008</v>
      </c>
      <c r="I106" s="24">
        <f>+I107</f>
        <v>8162039</v>
      </c>
      <c r="J106" s="24">
        <f>+J107</f>
        <v>8233427.3799999999</v>
      </c>
      <c r="K106" s="24">
        <f>+K107</f>
        <v>8415864.3499999996</v>
      </c>
      <c r="L106" s="24">
        <f>+L107</f>
        <v>8273087.4900000002</v>
      </c>
      <c r="M106" s="24">
        <f>+M107</f>
        <v>8511048.7200000007</v>
      </c>
      <c r="O106" s="27"/>
      <c r="P106" s="7">
        <f t="shared" si="26"/>
        <v>83306041.789666668</v>
      </c>
      <c r="Q106" s="27"/>
      <c r="R106" s="27"/>
    </row>
    <row r="107" spans="1:18" ht="15.75" thickBot="1" x14ac:dyDescent="0.3">
      <c r="A107" s="22" t="s">
        <v>408</v>
      </c>
      <c r="B107" s="27">
        <v>100749814</v>
      </c>
      <c r="C107" s="27">
        <v>100749814</v>
      </c>
      <c r="D107" s="27">
        <v>8241359.4199999999</v>
      </c>
      <c r="E107" s="27">
        <v>8312747.7929999996</v>
      </c>
      <c r="F107" s="27">
        <v>8581771.5066666696</v>
      </c>
      <c r="G107" s="27">
        <v>8162039</v>
      </c>
      <c r="H107" s="27">
        <v>8412657.1300000008</v>
      </c>
      <c r="I107" s="27">
        <v>8162039</v>
      </c>
      <c r="J107" s="27">
        <v>8233427.3799999999</v>
      </c>
      <c r="K107" s="27">
        <v>8415864.3499999996</v>
      </c>
      <c r="L107" s="27">
        <v>8273087.4900000002</v>
      </c>
      <c r="M107" s="27">
        <v>8511048.7200000007</v>
      </c>
      <c r="O107" s="27"/>
      <c r="P107" s="41">
        <f t="shared" si="26"/>
        <v>83306041.789666668</v>
      </c>
      <c r="Q107" s="27"/>
      <c r="R107" s="27"/>
    </row>
    <row r="108" spans="1:18" ht="15.75" thickBot="1" x14ac:dyDescent="0.3">
      <c r="A108" s="17" t="s">
        <v>61</v>
      </c>
      <c r="B108" s="24">
        <f>+B109</f>
        <v>1610148</v>
      </c>
      <c r="C108" s="24">
        <f>+C109</f>
        <v>1610148</v>
      </c>
      <c r="D108" s="24">
        <f t="shared" ref="D108:H108" si="34">+D109</f>
        <v>134179</v>
      </c>
      <c r="E108" s="24">
        <f t="shared" si="34"/>
        <v>134179</v>
      </c>
      <c r="F108" s="24">
        <f t="shared" si="34"/>
        <v>0</v>
      </c>
      <c r="G108" s="24">
        <f t="shared" si="34"/>
        <v>134179</v>
      </c>
      <c r="H108" s="24">
        <f t="shared" si="34"/>
        <v>134179</v>
      </c>
      <c r="I108" s="24">
        <f>+I109</f>
        <v>134179</v>
      </c>
      <c r="J108" s="24">
        <f>+J109</f>
        <v>134179</v>
      </c>
      <c r="K108" s="24">
        <f>+K109</f>
        <v>134179</v>
      </c>
      <c r="L108" s="24">
        <f>+L109</f>
        <v>134179</v>
      </c>
      <c r="M108" s="24">
        <f>+M109</f>
        <v>134179</v>
      </c>
      <c r="O108" s="27"/>
      <c r="P108" s="7">
        <f t="shared" si="26"/>
        <v>1207611</v>
      </c>
      <c r="Q108" s="27"/>
      <c r="R108" s="27"/>
    </row>
    <row r="109" spans="1:18" x14ac:dyDescent="0.25">
      <c r="A109" s="16" t="s">
        <v>62</v>
      </c>
      <c r="B109" s="27">
        <v>1610148</v>
      </c>
      <c r="C109" s="27">
        <v>1610148</v>
      </c>
      <c r="D109" s="13">
        <v>134179</v>
      </c>
      <c r="E109" s="13">
        <v>134179</v>
      </c>
      <c r="F109" s="13">
        <v>0</v>
      </c>
      <c r="G109" s="13">
        <v>134179</v>
      </c>
      <c r="H109" s="13">
        <v>134179</v>
      </c>
      <c r="I109" s="13">
        <v>134179</v>
      </c>
      <c r="J109" s="13">
        <v>134179</v>
      </c>
      <c r="K109" s="13">
        <v>134179</v>
      </c>
      <c r="L109" s="13">
        <v>134179</v>
      </c>
      <c r="M109" s="13">
        <v>134179</v>
      </c>
      <c r="O109" s="27"/>
      <c r="P109" s="41">
        <f t="shared" si="26"/>
        <v>1207611</v>
      </c>
      <c r="Q109" s="27"/>
      <c r="R109" s="27"/>
    </row>
    <row r="110" spans="1:18" x14ac:dyDescent="0.25">
      <c r="A110" s="19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O110" s="27"/>
      <c r="P110" s="27"/>
      <c r="Q110" s="27"/>
      <c r="R110" s="27"/>
    </row>
    <row r="111" spans="1:18" hidden="1" x14ac:dyDescent="0.25">
      <c r="A111" s="8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41"/>
      <c r="Q111" s="27"/>
      <c r="R111" s="27"/>
    </row>
    <row r="112" spans="1:18" x14ac:dyDescent="0.25">
      <c r="A112" s="9" t="s">
        <v>411</v>
      </c>
      <c r="B112" s="12">
        <f>+B79+B75+B72+B67+B57+B50+B41+B31+B21+B15+B88+B94</f>
        <v>5896375178</v>
      </c>
      <c r="C112" s="12">
        <f>+C79+C75+C72+C67+C57+C50+C41+C31+C21+C15+C88+C94</f>
        <v>5896375178</v>
      </c>
      <c r="D112" s="12">
        <f>+D15+D89+D94+D92+D31+D21+D41+D57+D111+D67</f>
        <v>629033683.96333337</v>
      </c>
      <c r="E112" s="12">
        <f>+E94+E92+E13</f>
        <v>504425527.77633333</v>
      </c>
      <c r="F112" s="12">
        <f>+F94+F92+F13</f>
        <v>373847435.94999993</v>
      </c>
      <c r="G112" s="12">
        <f>+G79+G75+G72+G67+G57+G50+G41+G31+G21+G15+G88+G94</f>
        <v>653432064.39333332</v>
      </c>
      <c r="H112" s="12">
        <f>+H79+H75+H72+H67+H57+H50+H41+H31+H21+H15+H88+H94+H111</f>
        <v>547288000.81333327</v>
      </c>
      <c r="I112" s="12">
        <f>+I79+I75+I72+I67+I57+I50+I41+I31+I21+I15+I88+I94+I111</f>
        <v>454088440.69333333</v>
      </c>
      <c r="J112" s="12">
        <f>+J79+J75+J72+J67+J57+J50+J41+J31+J21+J15+J89+J94+J111+J92</f>
        <v>577908238.79333341</v>
      </c>
      <c r="K112" s="12">
        <f>+K79+K75+K72+K67+K57+K50+K41+K31+K21+K15+K89+K94+K111+K92</f>
        <v>447274576.96666664</v>
      </c>
      <c r="L112" s="12">
        <f>+L79+L75+L72+L67+L57+L50+L41+L31+L21+L15+L89+L94+L111+L92</f>
        <v>399529499.91666669</v>
      </c>
      <c r="M112" s="12">
        <f>+M79+M75+M72+M67+M57+M50+M42+M31+M21+M15+M89+M94+M111+M92</f>
        <v>424359686.8866666</v>
      </c>
      <c r="N112" s="12">
        <f>+N79+N75+N72+N67+N57+N50+N42+N31+N21+N15+N89+N94+N111+N92</f>
        <v>0</v>
      </c>
      <c r="O112" s="12">
        <f>+O79+O75+O72+O67+O57+O50+O41+O31+O21+O15</f>
        <v>0</v>
      </c>
      <c r="P112" s="12">
        <f>SUM(D112:O112)</f>
        <v>5011187156.1529999</v>
      </c>
    </row>
    <row r="114" spans="3:13" x14ac:dyDescent="0.25">
      <c r="C114" s="14"/>
      <c r="D114" s="27"/>
      <c r="E114" s="27"/>
      <c r="F114" s="27"/>
      <c r="G114" s="27"/>
      <c r="H114" s="27"/>
      <c r="I114" s="27"/>
      <c r="J114" s="27"/>
      <c r="K114" s="27"/>
      <c r="L114" s="27"/>
      <c r="M114" s="27"/>
    </row>
    <row r="115" spans="3:13" x14ac:dyDescent="0.25">
      <c r="H115" s="14"/>
    </row>
    <row r="116" spans="3:13" x14ac:dyDescent="0.25">
      <c r="D116" s="14"/>
      <c r="E116" s="14"/>
      <c r="F116" s="14"/>
      <c r="G116" s="14"/>
      <c r="H116" s="14"/>
      <c r="I116" s="154"/>
      <c r="J116" s="154"/>
      <c r="K116" s="14"/>
      <c r="L116" s="14"/>
      <c r="M116" s="14"/>
    </row>
  </sheetData>
  <mergeCells count="9">
    <mergeCell ref="A10:A11"/>
    <mergeCell ref="B10:B11"/>
    <mergeCell ref="C10:C11"/>
    <mergeCell ref="D10:P10"/>
    <mergeCell ref="A4:P4"/>
    <mergeCell ref="A5:P5"/>
    <mergeCell ref="A6:P6"/>
    <mergeCell ref="A7:P7"/>
    <mergeCell ref="A8:P8"/>
  </mergeCells>
  <pageMargins left="0.70866141732283472" right="0.43307086614173229" top="0.31496062992125984" bottom="0.31496062992125984" header="0.31496062992125984" footer="0.31496062992125984"/>
  <pageSetup paperSize="9" scale="45" orientation="landscape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7BDF6-9AE0-40CD-95CE-7518F43FCEB7}">
  <dimension ref="A1:Y518"/>
  <sheetViews>
    <sheetView workbookViewId="0">
      <selection activeCell="B312" sqref="B312"/>
    </sheetView>
  </sheetViews>
  <sheetFormatPr baseColWidth="10" defaultColWidth="18.42578125" defaultRowHeight="15" x14ac:dyDescent="0.25"/>
  <cols>
    <col min="1" max="1" width="8.140625" customWidth="1"/>
    <col min="2" max="2" width="58.42578125" customWidth="1"/>
    <col min="3" max="3" width="20.85546875" style="118" bestFit="1" customWidth="1"/>
    <col min="4" max="4" width="0" style="13" hidden="1" customWidth="1"/>
    <col min="5" max="5" width="0" hidden="1" customWidth="1"/>
    <col min="6" max="6" width="16.28515625" hidden="1" customWidth="1"/>
    <col min="7" max="7" width="17" style="118" customWidth="1"/>
    <col min="8" max="8" width="17.28515625" customWidth="1"/>
    <col min="9" max="9" width="17.5703125" customWidth="1"/>
    <col min="10" max="12" width="18.42578125" customWidth="1"/>
    <col min="13" max="13" width="18.42578125" style="13" customWidth="1"/>
    <col min="14" max="15" width="18.28515625" style="13" customWidth="1"/>
    <col min="16" max="17" width="20.85546875" style="13" customWidth="1"/>
    <col min="18" max="19" width="20.85546875" style="13" hidden="1" customWidth="1"/>
    <col min="20" max="20" width="1.28515625" style="13" customWidth="1"/>
    <col min="21" max="21" width="19.7109375" customWidth="1"/>
    <col min="22" max="22" width="20.7109375" style="42" customWidth="1"/>
  </cols>
  <sheetData>
    <row r="1" spans="1:25" ht="18.75" x14ac:dyDescent="0.3">
      <c r="A1" s="169" t="s">
        <v>98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</row>
    <row r="2" spans="1:25" ht="18.75" x14ac:dyDescent="0.3">
      <c r="A2" s="169" t="s">
        <v>99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</row>
    <row r="3" spans="1:25" ht="18.75" x14ac:dyDescent="0.3">
      <c r="A3" s="169" t="s">
        <v>100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</row>
    <row r="4" spans="1:25" ht="18.75" x14ac:dyDescent="0.3">
      <c r="A4" s="169" t="s">
        <v>101</v>
      </c>
      <c r="B4" s="169"/>
      <c r="C4" s="169"/>
      <c r="D4" s="169"/>
      <c r="E4" s="169"/>
      <c r="F4" s="169"/>
      <c r="G4" s="169"/>
      <c r="H4" s="169"/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</row>
    <row r="5" spans="1:25" ht="19.5" thickBot="1" x14ac:dyDescent="0.35">
      <c r="A5" s="169" t="s">
        <v>102</v>
      </c>
      <c r="B5" s="169"/>
      <c r="C5" s="169"/>
      <c r="D5" s="169"/>
      <c r="E5" s="169"/>
      <c r="F5" s="169"/>
      <c r="G5" s="169"/>
      <c r="H5" s="169"/>
      <c r="I5" s="169"/>
      <c r="J5" s="169"/>
      <c r="K5" s="169"/>
      <c r="L5" s="169"/>
      <c r="M5" s="169"/>
      <c r="N5" s="169"/>
      <c r="O5" s="169"/>
      <c r="P5" s="169"/>
      <c r="Q5" s="169"/>
      <c r="R5" s="169"/>
      <c r="S5" s="169"/>
      <c r="T5" s="169"/>
      <c r="U5" s="169"/>
    </row>
    <row r="6" spans="1:25" ht="40.5" customHeight="1" thickBot="1" x14ac:dyDescent="0.3">
      <c r="A6" s="170" t="s">
        <v>103</v>
      </c>
      <c r="B6" s="171"/>
      <c r="C6" s="44" t="s">
        <v>104</v>
      </c>
      <c r="D6" s="45"/>
      <c r="E6" s="46"/>
      <c r="F6" s="47" t="s">
        <v>105</v>
      </c>
      <c r="G6" s="44" t="s">
        <v>106</v>
      </c>
      <c r="H6" s="48" t="s">
        <v>107</v>
      </c>
      <c r="I6" s="43" t="s">
        <v>108</v>
      </c>
      <c r="J6" s="43" t="s">
        <v>109</v>
      </c>
      <c r="K6" s="43" t="s">
        <v>110</v>
      </c>
      <c r="L6" s="43" t="s">
        <v>111</v>
      </c>
      <c r="M6" s="49" t="s">
        <v>112</v>
      </c>
      <c r="N6" s="49" t="s">
        <v>113</v>
      </c>
      <c r="O6" s="49" t="s">
        <v>114</v>
      </c>
      <c r="P6" s="49" t="s">
        <v>115</v>
      </c>
      <c r="Q6" s="49" t="s">
        <v>116</v>
      </c>
      <c r="R6" s="49" t="s">
        <v>117</v>
      </c>
      <c r="S6" s="49" t="s">
        <v>118</v>
      </c>
      <c r="T6" s="49" t="s">
        <v>117</v>
      </c>
      <c r="U6" s="50" t="s">
        <v>119</v>
      </c>
    </row>
    <row r="7" spans="1:25" ht="28.5" customHeight="1" x14ac:dyDescent="0.25">
      <c r="C7" s="51"/>
      <c r="G7" s="51"/>
      <c r="I7" s="52"/>
      <c r="K7" s="52"/>
    </row>
    <row r="8" spans="1:25" x14ac:dyDescent="0.25">
      <c r="A8" s="53" t="s">
        <v>120</v>
      </c>
      <c r="B8" s="54"/>
      <c r="C8" s="55">
        <f>+C11+C213+C227+C270</f>
        <v>5896375178</v>
      </c>
      <c r="D8" s="55" t="s">
        <v>121</v>
      </c>
      <c r="E8" s="56"/>
      <c r="F8" s="56"/>
      <c r="G8" s="55">
        <f>+G11+G213+G227+G270</f>
        <v>5896375178</v>
      </c>
      <c r="H8" s="57">
        <f t="shared" ref="H8:K8" si="0">+H298</f>
        <v>629033683.96333337</v>
      </c>
      <c r="I8" s="55">
        <f t="shared" si="0"/>
        <v>504425527.77633333</v>
      </c>
      <c r="J8" s="55">
        <f t="shared" si="0"/>
        <v>373847435.94999993</v>
      </c>
      <c r="K8" s="55">
        <f t="shared" si="0"/>
        <v>653432064.39333332</v>
      </c>
      <c r="L8" s="55">
        <f>+L298</f>
        <v>547288000.81333327</v>
      </c>
      <c r="M8" s="55">
        <f>+M298</f>
        <v>454088440.69333333</v>
      </c>
      <c r="N8" s="55">
        <f>+N298</f>
        <v>577908238.79333329</v>
      </c>
      <c r="O8" s="55">
        <f>+O298</f>
        <v>447274576.96333343</v>
      </c>
      <c r="P8" s="55">
        <f>+P10+P227+P213+P297</f>
        <v>399529499.9133333</v>
      </c>
      <c r="Q8" s="55">
        <f>+Q10+Q227+Q213+Q297</f>
        <v>424359686.89333332</v>
      </c>
      <c r="R8" s="55"/>
      <c r="S8" s="55">
        <f>+S10+S227+S213+S297</f>
        <v>0</v>
      </c>
      <c r="T8" s="55">
        <f>+T298</f>
        <v>0</v>
      </c>
      <c r="U8" s="55">
        <f>SUM(H8:T8)</f>
        <v>5011187156.1530008</v>
      </c>
    </row>
    <row r="9" spans="1:25" x14ac:dyDescent="0.25">
      <c r="C9" s="58"/>
      <c r="D9" s="13">
        <v>486489466.16000003</v>
      </c>
      <c r="E9" s="13"/>
      <c r="F9" s="13"/>
      <c r="G9" s="58"/>
      <c r="H9" s="58">
        <f t="shared" ref="H9:O9" si="1">+H10+H270</f>
        <v>497642571.46000004</v>
      </c>
      <c r="I9" s="58">
        <f t="shared" si="1"/>
        <v>367059161.19999999</v>
      </c>
      <c r="J9" s="58">
        <f t="shared" si="1"/>
        <v>396193615.35999995</v>
      </c>
      <c r="K9" s="58">
        <f t="shared" si="1"/>
        <v>623817379.38</v>
      </c>
      <c r="L9" s="58">
        <f t="shared" si="1"/>
        <v>462449292.31999999</v>
      </c>
      <c r="M9" s="58">
        <f t="shared" si="1"/>
        <v>391833009.31</v>
      </c>
      <c r="N9" s="58">
        <f t="shared" si="1"/>
        <v>405790120.58999997</v>
      </c>
      <c r="O9" s="58">
        <f t="shared" si="1"/>
        <v>367153744.33000004</v>
      </c>
      <c r="P9" s="58">
        <f t="shared" ref="P9:Q9" si="2">+P10+P270</f>
        <v>340337303.66999996</v>
      </c>
      <c r="Q9" s="58">
        <f t="shared" si="2"/>
        <v>374772137.49000001</v>
      </c>
      <c r="T9" s="58">
        <f>+T10+T270</f>
        <v>0</v>
      </c>
      <c r="U9" s="58"/>
    </row>
    <row r="10" spans="1:25" ht="15.75" thickBot="1" x14ac:dyDescent="0.3">
      <c r="A10" s="59" t="s">
        <v>94</v>
      </c>
      <c r="B10" s="54"/>
      <c r="C10" s="55">
        <f>+C8</f>
        <v>5896375178</v>
      </c>
      <c r="D10" s="55">
        <v>390571206.41000003</v>
      </c>
      <c r="E10" s="55"/>
      <c r="F10" s="55"/>
      <c r="G10" s="55">
        <f>+G8</f>
        <v>5896375178</v>
      </c>
      <c r="H10" s="55">
        <f>+H11+H40+H108+H166+H206+H270</f>
        <v>463109631.46000004</v>
      </c>
      <c r="I10" s="55">
        <f t="shared" ref="I10:U10" si="3">+I11+I40+I108+I166+I206+I270</f>
        <v>323061740.21999997</v>
      </c>
      <c r="J10" s="55">
        <f t="shared" si="3"/>
        <v>357717150.35999995</v>
      </c>
      <c r="K10" s="55">
        <f t="shared" si="3"/>
        <v>569944397.38999999</v>
      </c>
      <c r="L10" s="55">
        <f t="shared" si="3"/>
        <v>420296228.06</v>
      </c>
      <c r="M10" s="55">
        <f t="shared" si="3"/>
        <v>345752989.45999998</v>
      </c>
      <c r="N10" s="55">
        <f t="shared" si="3"/>
        <v>366024368.50999999</v>
      </c>
      <c r="O10" s="55">
        <f t="shared" si="3"/>
        <v>328015158.17000008</v>
      </c>
      <c r="P10" s="55">
        <f t="shared" si="3"/>
        <v>297647342.66999996</v>
      </c>
      <c r="Q10" s="55">
        <f t="shared" si="3"/>
        <v>316962891.19</v>
      </c>
      <c r="R10" s="55">
        <f t="shared" si="3"/>
        <v>0</v>
      </c>
      <c r="S10" s="55">
        <f t="shared" si="3"/>
        <v>0</v>
      </c>
      <c r="T10" s="55">
        <f t="shared" si="3"/>
        <v>0</v>
      </c>
      <c r="U10" s="55">
        <f t="shared" si="3"/>
        <v>3539074943.6299996</v>
      </c>
      <c r="V10" s="13"/>
      <c r="W10" s="52"/>
      <c r="X10" s="52"/>
    </row>
    <row r="11" spans="1:25" ht="15.75" thickBot="1" x14ac:dyDescent="0.3">
      <c r="A11" s="60" t="s">
        <v>122</v>
      </c>
      <c r="B11" s="61" t="s">
        <v>123</v>
      </c>
      <c r="C11" s="62">
        <f>+C12+C40+C108+C166+C206</f>
        <v>4054064993</v>
      </c>
      <c r="D11" s="62">
        <v>221602227.58333331</v>
      </c>
      <c r="E11" s="62" t="s">
        <v>124</v>
      </c>
      <c r="F11" s="62">
        <f>+F12</f>
        <v>40323105.329999998</v>
      </c>
      <c r="G11" s="62">
        <f>+G12+G40+G108+G166+G206</f>
        <v>4104233576.3299999</v>
      </c>
      <c r="H11" s="63">
        <f>+H12+H21+H26+H30+H35+H214</f>
        <v>242192129.13</v>
      </c>
      <c r="I11" s="63">
        <f>+I12+I21+I26+I30+I35+I214</f>
        <v>238695023.06</v>
      </c>
      <c r="J11" s="63">
        <f>+J12+J21+J26+J30+J35+J214</f>
        <v>236598288.69</v>
      </c>
      <c r="K11" s="63">
        <f>+K12+K21+K26+K30+K35</f>
        <v>207674562.88</v>
      </c>
      <c r="L11" s="62">
        <f>+L12+L21+L26+L30+L35</f>
        <v>276255473.56999999</v>
      </c>
      <c r="M11" s="62">
        <f>+M12+M21+M26+M30+M35</f>
        <v>196534221.32999998</v>
      </c>
      <c r="N11" s="63">
        <f t="shared" ref="N11:P11" si="4">+N12+N21+N26+N30+N35</f>
        <v>259604027.21999997</v>
      </c>
      <c r="O11" s="63">
        <f t="shared" si="4"/>
        <v>188530525.06999999</v>
      </c>
      <c r="P11" s="63">
        <f t="shared" si="4"/>
        <v>184469202.97</v>
      </c>
      <c r="Q11" s="63">
        <f>+Q12+Q21+Q26+Q30+Q35</f>
        <v>184470943.75999999</v>
      </c>
      <c r="R11" s="63">
        <f t="shared" ref="R11:U11" si="5">+R12+R21+R26+R30+R35</f>
        <v>0</v>
      </c>
      <c r="S11" s="63">
        <f t="shared" si="5"/>
        <v>0</v>
      </c>
      <c r="T11" s="63">
        <f t="shared" si="5"/>
        <v>0</v>
      </c>
      <c r="U11" s="63">
        <f t="shared" si="5"/>
        <v>2012095592.9199996</v>
      </c>
      <c r="W11" s="64"/>
      <c r="X11" s="65"/>
      <c r="Y11" s="52"/>
    </row>
    <row r="12" spans="1:25" x14ac:dyDescent="0.25">
      <c r="A12" s="66"/>
      <c r="B12" s="18" t="s">
        <v>125</v>
      </c>
      <c r="C12" s="67">
        <f>+C13+C21+C26+C30+C35</f>
        <v>2659226731</v>
      </c>
      <c r="D12" s="67">
        <v>142290897.16666666</v>
      </c>
      <c r="E12" s="68"/>
      <c r="F12" s="68">
        <f>+F14+F25+F39</f>
        <v>40323105.329999998</v>
      </c>
      <c r="G12" s="67">
        <f>+G13+G21+G26+G30+G35</f>
        <v>2699549836.3299999</v>
      </c>
      <c r="H12" s="67">
        <f>SUM(H14:H20)</f>
        <v>128309494.5</v>
      </c>
      <c r="I12" s="67">
        <f>SUM(I14:I20)</f>
        <v>124768609.86999999</v>
      </c>
      <c r="J12" s="67">
        <f t="shared" ref="J12:U12" si="6">SUM(J14:J20)</f>
        <v>135757280.77000001</v>
      </c>
      <c r="K12" s="67">
        <f>SUM(K14:K20)</f>
        <v>142284884.34999999</v>
      </c>
      <c r="L12" s="67">
        <f>SUM(L14:L20)</f>
        <v>140430993.24000001</v>
      </c>
      <c r="M12" s="67">
        <f t="shared" si="6"/>
        <v>133349274.14</v>
      </c>
      <c r="N12" s="67">
        <f t="shared" si="6"/>
        <v>136444401.65999997</v>
      </c>
      <c r="O12" s="67">
        <f t="shared" si="6"/>
        <v>139291654.56</v>
      </c>
      <c r="P12" s="67">
        <f t="shared" si="6"/>
        <v>132310400.00999999</v>
      </c>
      <c r="Q12" s="67">
        <f t="shared" si="6"/>
        <v>133340491.59999999</v>
      </c>
      <c r="R12" s="67">
        <f t="shared" si="6"/>
        <v>0</v>
      </c>
      <c r="S12" s="67">
        <f t="shared" si="6"/>
        <v>0</v>
      </c>
      <c r="T12" s="67">
        <f t="shared" si="6"/>
        <v>0</v>
      </c>
      <c r="U12" s="67">
        <f t="shared" si="6"/>
        <v>1346287484.6999998</v>
      </c>
      <c r="W12" s="64"/>
      <c r="X12" s="13"/>
      <c r="Y12" s="52"/>
    </row>
    <row r="13" spans="1:25" s="138" customFormat="1" x14ac:dyDescent="0.25">
      <c r="B13" s="137" t="s">
        <v>126</v>
      </c>
      <c r="C13" s="139">
        <f>SUM(C14:C20)</f>
        <v>1707490766</v>
      </c>
      <c r="D13" s="139"/>
      <c r="E13" s="139"/>
      <c r="F13" s="139"/>
      <c r="G13" s="139">
        <f>SUM(G14:G20)</f>
        <v>1736183979.3299999</v>
      </c>
      <c r="H13" s="139">
        <f>SUM(H14:H20)</f>
        <v>128309494.5</v>
      </c>
      <c r="I13" s="139">
        <f t="shared" ref="I13:O13" si="7">SUM(I14:I20)</f>
        <v>124768609.86999999</v>
      </c>
      <c r="J13" s="139">
        <f t="shared" si="7"/>
        <v>135757280.77000001</v>
      </c>
      <c r="K13" s="139">
        <f t="shared" si="7"/>
        <v>142284884.34999999</v>
      </c>
      <c r="L13" s="139">
        <f>SUM(L14:L20)</f>
        <v>140430993.24000001</v>
      </c>
      <c r="M13" s="139">
        <f t="shared" si="7"/>
        <v>133349274.14</v>
      </c>
      <c r="N13" s="139">
        <f t="shared" si="7"/>
        <v>136444401.65999997</v>
      </c>
      <c r="O13" s="139">
        <f t="shared" si="7"/>
        <v>139291654.56</v>
      </c>
      <c r="P13" s="139">
        <f>SUM(P14:P20)</f>
        <v>132310400.00999999</v>
      </c>
      <c r="Q13" s="139">
        <f>SUM(Q14:Q20)</f>
        <v>133340491.59999999</v>
      </c>
      <c r="R13" s="139">
        <f t="shared" ref="R13:U13" si="8">SUM(R14:R20)</f>
        <v>0</v>
      </c>
      <c r="S13" s="139">
        <f t="shared" si="8"/>
        <v>0</v>
      </c>
      <c r="T13" s="139">
        <f t="shared" si="8"/>
        <v>0</v>
      </c>
      <c r="U13" s="139">
        <f t="shared" si="8"/>
        <v>1346287484.6999998</v>
      </c>
      <c r="V13" s="140"/>
      <c r="W13" s="71"/>
      <c r="X13" s="139"/>
      <c r="Y13" s="141"/>
    </row>
    <row r="14" spans="1:25" hidden="1" x14ac:dyDescent="0.25">
      <c r="B14" t="s">
        <v>127</v>
      </c>
      <c r="C14" s="117">
        <v>1286405740</v>
      </c>
      <c r="D14" s="117">
        <v>107200478.33333333</v>
      </c>
      <c r="E14" s="117" t="s">
        <v>128</v>
      </c>
      <c r="F14" s="117">
        <v>28693213.329999998</v>
      </c>
      <c r="G14" s="117">
        <f>+C14+F14</f>
        <v>1315098953.3299999</v>
      </c>
      <c r="H14" s="25">
        <f>138137144.56-H217</f>
        <v>104744209.64</v>
      </c>
      <c r="I14" s="25">
        <f>137812434.48-I217</f>
        <v>104419499.55999999</v>
      </c>
      <c r="J14" s="25">
        <f>148069825.52-33392934.92</f>
        <v>114676890.60000001</v>
      </c>
      <c r="K14" s="117">
        <f>147773245.24-33392934.92</f>
        <v>114380310.32000001</v>
      </c>
      <c r="L14" s="117">
        <f>146613826.08-L217</f>
        <v>113220891.16000001</v>
      </c>
      <c r="M14" s="117">
        <f>146865272.25-M217</f>
        <v>113472337.33</v>
      </c>
      <c r="N14" s="117">
        <f>146685953.25-N217</f>
        <v>113293018.33</v>
      </c>
      <c r="O14" s="72">
        <f>150460434.55-33392934.92</f>
        <v>117067499.63000001</v>
      </c>
      <c r="P14" s="26">
        <v>113284049.63</v>
      </c>
      <c r="Q14" s="73">
        <f>148412987.37-Q217</f>
        <v>115020052.45</v>
      </c>
      <c r="R14" s="26"/>
      <c r="S14" s="26"/>
      <c r="T14" s="72"/>
      <c r="U14" s="25">
        <f t="shared" ref="U14:U20" si="9">SUM(H14:T14)</f>
        <v>1123578758.6500001</v>
      </c>
      <c r="V14" s="142"/>
      <c r="W14" s="64"/>
      <c r="Y14" s="52"/>
    </row>
    <row r="15" spans="1:25" hidden="1" x14ac:dyDescent="0.25">
      <c r="B15" t="s">
        <v>129</v>
      </c>
      <c r="C15" s="117">
        <v>200974648</v>
      </c>
      <c r="D15" s="117">
        <v>16747887.333333334</v>
      </c>
      <c r="E15" s="117" t="s">
        <v>130</v>
      </c>
      <c r="F15" s="117"/>
      <c r="G15" s="117">
        <v>200974648</v>
      </c>
      <c r="H15" s="25">
        <v>15864691.130000001</v>
      </c>
      <c r="I15" s="25">
        <v>16023316.130000001</v>
      </c>
      <c r="J15" s="25">
        <v>15568182.130000001</v>
      </c>
      <c r="K15" s="25">
        <v>16643216.130000001</v>
      </c>
      <c r="L15" s="117">
        <f>+'[1]REVISIÓN MAYO 2025'!$C$7</f>
        <v>16547341.130000001</v>
      </c>
      <c r="M15" s="117">
        <v>16354841.130000001</v>
      </c>
      <c r="N15" s="74">
        <v>16508457.85</v>
      </c>
      <c r="O15" s="74">
        <v>16681091.130000001</v>
      </c>
      <c r="P15" s="26">
        <v>16712741.130000001</v>
      </c>
      <c r="Q15" s="73">
        <v>15753816.130000001</v>
      </c>
      <c r="R15" s="26"/>
      <c r="S15" s="26"/>
      <c r="T15" s="74"/>
      <c r="U15" s="25">
        <f t="shared" si="9"/>
        <v>162657694.01999998</v>
      </c>
      <c r="V15" s="142"/>
      <c r="W15" s="64"/>
      <c r="X15" s="52"/>
    </row>
    <row r="16" spans="1:25" hidden="1" x14ac:dyDescent="0.25">
      <c r="B16" t="s">
        <v>131</v>
      </c>
      <c r="C16" s="117">
        <v>4724910</v>
      </c>
      <c r="D16" s="117">
        <v>393742.5</v>
      </c>
      <c r="E16" s="117" t="s">
        <v>132</v>
      </c>
      <c r="F16" s="117"/>
      <c r="G16" s="117">
        <v>4724910</v>
      </c>
      <c r="H16" s="25">
        <v>804400</v>
      </c>
      <c r="I16" s="25">
        <v>0</v>
      </c>
      <c r="J16" s="25">
        <v>176600</v>
      </c>
      <c r="K16" s="25">
        <v>81900</v>
      </c>
      <c r="L16" s="117">
        <f>+'[1]REVISIÓN MAYO 2025'!$C$8</f>
        <v>1774925</v>
      </c>
      <c r="M16" s="117">
        <v>252670</v>
      </c>
      <c r="N16" s="74">
        <v>60000</v>
      </c>
      <c r="O16" s="74">
        <v>1491171.85</v>
      </c>
      <c r="P16" s="26"/>
      <c r="Q16" s="73">
        <v>49500</v>
      </c>
      <c r="R16" s="26"/>
      <c r="S16" s="26"/>
      <c r="T16" s="74"/>
      <c r="U16" s="25">
        <f t="shared" si="9"/>
        <v>4691166.8499999996</v>
      </c>
      <c r="V16" s="142"/>
      <c r="W16" s="64"/>
    </row>
    <row r="17" spans="2:24" hidden="1" x14ac:dyDescent="0.25">
      <c r="B17" t="s">
        <v>133</v>
      </c>
      <c r="C17" s="117">
        <v>24371575</v>
      </c>
      <c r="D17" s="117">
        <v>2030964.5833333333</v>
      </c>
      <c r="E17" s="117" t="s">
        <v>134</v>
      </c>
      <c r="F17" s="117"/>
      <c r="G17" s="117">
        <v>24371575</v>
      </c>
      <c r="H17" s="25">
        <v>2204500</v>
      </c>
      <c r="I17" s="25">
        <v>2330125</v>
      </c>
      <c r="J17" s="25">
        <v>1842425</v>
      </c>
      <c r="K17" s="25">
        <v>1814925</v>
      </c>
      <c r="L17" s="117">
        <f>+'[1]REVISIÓN MAYO 2025'!$C$9</f>
        <v>490100</v>
      </c>
      <c r="M17" s="117">
        <v>1744925</v>
      </c>
      <c r="N17" s="74">
        <v>1684925</v>
      </c>
      <c r="O17" s="74">
        <v>1789425</v>
      </c>
      <c r="P17" s="26">
        <v>1789425</v>
      </c>
      <c r="Q17" s="73">
        <v>1789425</v>
      </c>
      <c r="R17" s="26"/>
      <c r="S17" s="26"/>
      <c r="T17" s="74"/>
      <c r="U17" s="25">
        <f t="shared" si="9"/>
        <v>17480200</v>
      </c>
      <c r="V17" s="142"/>
      <c r="W17" s="64"/>
      <c r="X17" s="52"/>
    </row>
    <row r="18" spans="2:24" hidden="1" x14ac:dyDescent="0.25">
      <c r="B18" t="s">
        <v>135</v>
      </c>
      <c r="C18" s="117">
        <v>140512328</v>
      </c>
      <c r="D18" s="117">
        <v>11709360.666666666</v>
      </c>
      <c r="E18" s="117"/>
      <c r="F18" s="117"/>
      <c r="G18" s="117">
        <v>140512328</v>
      </c>
      <c r="H18" s="25">
        <v>0</v>
      </c>
      <c r="I18" s="25">
        <v>17698.84</v>
      </c>
      <c r="J18" s="25">
        <v>21583.33</v>
      </c>
      <c r="K18" s="25">
        <v>115359.26000000001</v>
      </c>
      <c r="L18" s="117">
        <f>+'[1]REVISIÓN MAYO 2025'!$C$10</f>
        <v>188587.49</v>
      </c>
      <c r="M18" s="117">
        <v>35916.67</v>
      </c>
      <c r="N18" s="74">
        <v>185408.35</v>
      </c>
      <c r="O18" s="74">
        <v>351875</v>
      </c>
      <c r="P18" s="26">
        <v>62350</v>
      </c>
      <c r="Q18" s="73">
        <v>85964.87</v>
      </c>
      <c r="R18" s="26"/>
      <c r="S18" s="26"/>
      <c r="T18" s="74"/>
      <c r="U18" s="25">
        <f t="shared" si="9"/>
        <v>1064743.81</v>
      </c>
      <c r="V18" s="142"/>
      <c r="W18" s="64"/>
    </row>
    <row r="19" spans="2:24" hidden="1" x14ac:dyDescent="0.25">
      <c r="B19" t="s">
        <v>136</v>
      </c>
      <c r="C19" s="117">
        <v>50000000</v>
      </c>
      <c r="D19" s="117">
        <v>4166666.6666666665</v>
      </c>
      <c r="E19" s="117" t="s">
        <v>137</v>
      </c>
      <c r="F19" s="117"/>
      <c r="G19" s="117">
        <v>50000000</v>
      </c>
      <c r="H19" s="25">
        <v>4691693.7300000004</v>
      </c>
      <c r="I19" s="25">
        <v>1897189.64</v>
      </c>
      <c r="J19" s="25">
        <v>3471599.71</v>
      </c>
      <c r="K19" s="25">
        <v>9032430.1899999995</v>
      </c>
      <c r="L19" s="117">
        <f>+'[1]REVISIÓN MAYO 2025'!$C$11</f>
        <v>7757275.71</v>
      </c>
      <c r="M19" s="117">
        <v>1352201.51</v>
      </c>
      <c r="N19" s="74">
        <v>4574111.34</v>
      </c>
      <c r="O19" s="74">
        <v>1326896.4099999999</v>
      </c>
      <c r="P19" s="26">
        <v>461834.25</v>
      </c>
      <c r="Q19" s="73">
        <v>609504.82999999996</v>
      </c>
      <c r="R19" s="26"/>
      <c r="S19" s="26"/>
      <c r="T19" s="74"/>
      <c r="U19" s="25">
        <f t="shared" si="9"/>
        <v>35174737.32</v>
      </c>
      <c r="V19" s="142"/>
      <c r="W19" s="64"/>
    </row>
    <row r="20" spans="2:24" hidden="1" x14ac:dyDescent="0.25">
      <c r="B20" t="s">
        <v>138</v>
      </c>
      <c r="C20" s="117">
        <v>501565</v>
      </c>
      <c r="D20" s="117">
        <v>41797.083333333336</v>
      </c>
      <c r="E20" s="117"/>
      <c r="F20" s="117"/>
      <c r="G20" s="117">
        <v>501565</v>
      </c>
      <c r="H20" s="25"/>
      <c r="I20" s="25">
        <v>80780.7</v>
      </c>
      <c r="J20" s="25"/>
      <c r="K20" s="25">
        <v>216743.45</v>
      </c>
      <c r="L20" s="117">
        <f>+'[1]REVISIÓN MAYO 2025'!$C$12</f>
        <v>451872.75</v>
      </c>
      <c r="M20" s="117">
        <v>136382.5</v>
      </c>
      <c r="N20" s="74">
        <v>138480.79</v>
      </c>
      <c r="O20" s="74">
        <v>583695.54</v>
      </c>
      <c r="P20" s="26"/>
      <c r="Q20" s="73">
        <v>32228.32</v>
      </c>
      <c r="R20" s="26"/>
      <c r="S20" s="26"/>
      <c r="T20" s="74"/>
      <c r="U20" s="25">
        <f t="shared" si="9"/>
        <v>1640184.05</v>
      </c>
      <c r="V20" s="142"/>
      <c r="W20" s="64"/>
    </row>
    <row r="21" spans="2:24" x14ac:dyDescent="0.25">
      <c r="B21" s="16" t="s">
        <v>21</v>
      </c>
      <c r="C21" s="30">
        <f t="shared" ref="C21" si="10">SUM(C23:C25)</f>
        <v>124798662</v>
      </c>
      <c r="D21" s="117">
        <v>10399888.499999998</v>
      </c>
      <c r="E21" s="117"/>
      <c r="F21" s="117"/>
      <c r="G21" s="30">
        <f t="shared" ref="G21:U21" si="11">SUM(G23:G25)</f>
        <v>133224058</v>
      </c>
      <c r="H21" s="30">
        <f t="shared" si="11"/>
        <v>9347698</v>
      </c>
      <c r="I21" s="30">
        <f t="shared" si="11"/>
        <v>9781885.5</v>
      </c>
      <c r="J21" s="30">
        <f t="shared" si="11"/>
        <v>11081573</v>
      </c>
      <c r="K21" s="30">
        <f t="shared" si="11"/>
        <v>11731373</v>
      </c>
      <c r="L21" s="30">
        <f t="shared" si="11"/>
        <v>10406548</v>
      </c>
      <c r="M21" s="30">
        <f t="shared" si="11"/>
        <v>10054246</v>
      </c>
      <c r="N21" s="30">
        <f t="shared" si="11"/>
        <v>10402523</v>
      </c>
      <c r="O21" s="30">
        <f t="shared" si="11"/>
        <v>10539023</v>
      </c>
      <c r="P21" s="30">
        <f t="shared" si="11"/>
        <v>13986475</v>
      </c>
      <c r="Q21" s="30">
        <f t="shared" si="11"/>
        <v>13138275</v>
      </c>
      <c r="R21" s="30">
        <f t="shared" si="11"/>
        <v>0</v>
      </c>
      <c r="S21" s="30">
        <f t="shared" si="11"/>
        <v>0</v>
      </c>
      <c r="T21" s="30">
        <f t="shared" si="11"/>
        <v>0</v>
      </c>
      <c r="U21" s="30">
        <f t="shared" si="11"/>
        <v>110469619.5</v>
      </c>
      <c r="V21" s="142"/>
      <c r="W21" s="64"/>
    </row>
    <row r="22" spans="2:24" hidden="1" x14ac:dyDescent="0.25">
      <c r="B22" s="16" t="s">
        <v>139</v>
      </c>
      <c r="C22" s="30">
        <f>SUM(C23:C25)</f>
        <v>124798662</v>
      </c>
      <c r="D22" s="117"/>
      <c r="E22" s="117"/>
      <c r="F22" s="117"/>
      <c r="G22" s="30">
        <f t="shared" ref="G22:U22" si="12">SUM(G23:G25)</f>
        <v>133224058</v>
      </c>
      <c r="H22" s="30">
        <f t="shared" si="12"/>
        <v>9347698</v>
      </c>
      <c r="I22" s="30">
        <f t="shared" si="12"/>
        <v>9781885.5</v>
      </c>
      <c r="J22" s="30">
        <f t="shared" si="12"/>
        <v>11081573</v>
      </c>
      <c r="K22" s="30">
        <f t="shared" si="12"/>
        <v>11731373</v>
      </c>
      <c r="L22" s="30">
        <f>SUM(L23:L25)</f>
        <v>10406548</v>
      </c>
      <c r="M22" s="30">
        <f t="shared" si="12"/>
        <v>10054246</v>
      </c>
      <c r="N22" s="30">
        <f t="shared" si="12"/>
        <v>10402523</v>
      </c>
      <c r="O22" s="30">
        <f t="shared" si="12"/>
        <v>10539023</v>
      </c>
      <c r="P22" s="30">
        <f>SUM(P23:P25)</f>
        <v>13986475</v>
      </c>
      <c r="Q22" s="30">
        <f>SUM(Q23:Q25)</f>
        <v>13138275</v>
      </c>
      <c r="R22" s="30">
        <f t="shared" si="12"/>
        <v>0</v>
      </c>
      <c r="S22" s="30">
        <f t="shared" si="12"/>
        <v>0</v>
      </c>
      <c r="T22" s="30">
        <f t="shared" si="12"/>
        <v>0</v>
      </c>
      <c r="U22" s="30">
        <f t="shared" si="12"/>
        <v>110469619.5</v>
      </c>
      <c r="V22" s="142"/>
      <c r="W22" s="64"/>
    </row>
    <row r="23" spans="2:24" hidden="1" x14ac:dyDescent="0.25">
      <c r="B23" t="s">
        <v>140</v>
      </c>
      <c r="C23" s="117">
        <v>87032500</v>
      </c>
      <c r="D23" s="117">
        <v>7252708.333333333</v>
      </c>
      <c r="E23" s="117" t="s">
        <v>141</v>
      </c>
      <c r="F23" s="117"/>
      <c r="G23" s="117">
        <v>87032500</v>
      </c>
      <c r="H23" s="25">
        <v>6429375</v>
      </c>
      <c r="I23" s="117">
        <v>6410375</v>
      </c>
      <c r="J23" s="25">
        <v>7454875</v>
      </c>
      <c r="K23" s="25">
        <v>7497875</v>
      </c>
      <c r="L23" s="117">
        <f>+'[1]REVISIÓN MAYO 2025'!$C$15</f>
        <v>7470875</v>
      </c>
      <c r="M23" s="117">
        <v>7512873</v>
      </c>
      <c r="N23" s="74">
        <v>7553875</v>
      </c>
      <c r="O23" s="74">
        <v>7551875</v>
      </c>
      <c r="P23" s="26">
        <v>7556875</v>
      </c>
      <c r="Q23" s="73">
        <v>7551875</v>
      </c>
      <c r="R23" s="26"/>
      <c r="S23" s="26"/>
      <c r="T23" s="74"/>
      <c r="U23" s="25">
        <f>SUM(H23:T23)</f>
        <v>72990748</v>
      </c>
      <c r="V23" s="142"/>
      <c r="W23" s="64"/>
    </row>
    <row r="24" spans="2:24" hidden="1" x14ac:dyDescent="0.25">
      <c r="B24" t="s">
        <v>142</v>
      </c>
      <c r="C24" s="117">
        <v>17498376</v>
      </c>
      <c r="D24" s="117">
        <v>1458198</v>
      </c>
      <c r="E24" s="117"/>
      <c r="F24" s="117"/>
      <c r="G24" s="117">
        <v>17498376</v>
      </c>
      <c r="H24" s="25">
        <v>1460198</v>
      </c>
      <c r="I24" s="117">
        <v>1460198</v>
      </c>
      <c r="J24" s="25">
        <v>1460198</v>
      </c>
      <c r="K24" s="25">
        <v>1517698</v>
      </c>
      <c r="L24" s="117">
        <f>+'[1]REVISIÓN MAYO 2025'!$C$16</f>
        <v>1494723</v>
      </c>
      <c r="M24" s="117">
        <v>1494723</v>
      </c>
      <c r="N24" s="74">
        <v>1502848</v>
      </c>
      <c r="O24" s="74">
        <v>1502848</v>
      </c>
      <c r="P24" s="26">
        <v>1507700</v>
      </c>
      <c r="Q24" s="73">
        <v>1507700</v>
      </c>
      <c r="R24" s="26"/>
      <c r="S24" s="26"/>
      <c r="T24" s="74"/>
      <c r="U24" s="25">
        <f>SUM(H24:T24)</f>
        <v>14908834</v>
      </c>
      <c r="V24" s="142"/>
      <c r="W24" s="64"/>
    </row>
    <row r="25" spans="2:24" hidden="1" x14ac:dyDescent="0.25">
      <c r="B25" t="s">
        <v>143</v>
      </c>
      <c r="C25" s="117">
        <v>20267786</v>
      </c>
      <c r="D25" s="117">
        <v>1688982.1666666667</v>
      </c>
      <c r="E25" s="117" t="s">
        <v>144</v>
      </c>
      <c r="F25" s="117">
        <v>8425396</v>
      </c>
      <c r="G25" s="117">
        <f>+C25+F25</f>
        <v>28693182</v>
      </c>
      <c r="H25" s="25">
        <v>1458125</v>
      </c>
      <c r="I25" s="117">
        <v>1911312.5</v>
      </c>
      <c r="J25" s="25">
        <v>2166500</v>
      </c>
      <c r="K25" s="25">
        <v>2715800</v>
      </c>
      <c r="L25" s="117">
        <f>+'[1]REVISIÓN MAYO 2025'!$C$17</f>
        <v>1440950</v>
      </c>
      <c r="M25" s="117">
        <v>1046650</v>
      </c>
      <c r="N25" s="74">
        <v>1345800</v>
      </c>
      <c r="O25" s="74">
        <v>1484300</v>
      </c>
      <c r="P25" s="26">
        <v>4921900</v>
      </c>
      <c r="Q25" s="73">
        <v>4078700</v>
      </c>
      <c r="R25" s="26"/>
      <c r="S25" s="26"/>
      <c r="T25" s="74"/>
      <c r="U25" s="25">
        <f>SUM(H25:T25)</f>
        <v>22570037.5</v>
      </c>
      <c r="V25" s="142"/>
      <c r="W25" s="64"/>
    </row>
    <row r="26" spans="2:24" x14ac:dyDescent="0.25">
      <c r="B26" s="16" t="s">
        <v>22</v>
      </c>
      <c r="C26" s="30">
        <f t="shared" ref="C26" si="13">SUM(C28:C29)</f>
        <v>220723990</v>
      </c>
      <c r="D26" s="117">
        <v>18393665.833333332</v>
      </c>
      <c r="E26" s="117"/>
      <c r="F26" s="117"/>
      <c r="G26" s="30">
        <f t="shared" ref="G26" si="14">SUM(G28:G29)</f>
        <v>220723990</v>
      </c>
      <c r="H26" s="25">
        <f>SUM(H28:H29)</f>
        <v>22580500</v>
      </c>
      <c r="I26" s="25">
        <f>SUM(I28:I29)</f>
        <v>22215850</v>
      </c>
      <c r="J26" s="25">
        <f t="shared" ref="J26" si="15">SUM(J28:J29)</f>
        <v>22116500</v>
      </c>
      <c r="K26" s="25">
        <f>SUM(K28:K29)</f>
        <v>22120997</v>
      </c>
      <c r="L26" s="30">
        <f>SUM(L28:L29)</f>
        <v>22017932.329999998</v>
      </c>
      <c r="M26" s="30">
        <f>SUM(M28:M29)</f>
        <v>22225099</v>
      </c>
      <c r="N26" s="25">
        <f t="shared" ref="N26:O26" si="16">SUM(N28:N29)</f>
        <v>22085348</v>
      </c>
      <c r="O26" s="30">
        <f t="shared" si="16"/>
        <v>22992100</v>
      </c>
      <c r="P26" s="25">
        <f>SUM(P28:P29)</f>
        <v>22469500</v>
      </c>
      <c r="Q26" s="25">
        <f>SUM(Q28:Q29)</f>
        <v>22199750</v>
      </c>
      <c r="R26" s="25">
        <f t="shared" ref="R26:U26" si="17">SUM(R28:R29)</f>
        <v>0</v>
      </c>
      <c r="S26" s="25">
        <f t="shared" si="17"/>
        <v>0</v>
      </c>
      <c r="T26" s="25">
        <f t="shared" si="17"/>
        <v>0</v>
      </c>
      <c r="U26" s="25">
        <f t="shared" si="17"/>
        <v>223023576.32999998</v>
      </c>
      <c r="V26" s="142"/>
      <c r="W26" s="64"/>
    </row>
    <row r="27" spans="2:24" hidden="1" x14ac:dyDescent="0.25">
      <c r="B27" s="16" t="s">
        <v>145</v>
      </c>
      <c r="C27" s="30">
        <f>SUM(C28:C29)</f>
        <v>220723990</v>
      </c>
      <c r="D27" s="117"/>
      <c r="E27" s="117"/>
      <c r="F27" s="117"/>
      <c r="G27" s="30">
        <f>SUM(G28:G29)</f>
        <v>220723990</v>
      </c>
      <c r="H27" s="25"/>
      <c r="I27" s="30">
        <f t="shared" ref="I27:P27" si="18">SUM(I28:I29)</f>
        <v>22215850</v>
      </c>
      <c r="J27" s="30">
        <f t="shared" si="18"/>
        <v>22116500</v>
      </c>
      <c r="K27" s="30">
        <f t="shared" si="18"/>
        <v>22120997</v>
      </c>
      <c r="L27" s="30">
        <f t="shared" si="18"/>
        <v>22017932.329999998</v>
      </c>
      <c r="M27" s="30">
        <f t="shared" si="18"/>
        <v>22225099</v>
      </c>
      <c r="N27" s="30">
        <f t="shared" si="18"/>
        <v>22085348</v>
      </c>
      <c r="O27" s="30">
        <f t="shared" si="18"/>
        <v>22992100</v>
      </c>
      <c r="P27" s="30">
        <f t="shared" si="18"/>
        <v>22469500</v>
      </c>
      <c r="Q27" s="30">
        <f>SUM(Q28:Q29)</f>
        <v>22199750</v>
      </c>
      <c r="R27" s="30">
        <f t="shared" ref="R27:U27" si="19">SUM(R28:R29)</f>
        <v>0</v>
      </c>
      <c r="S27" s="30">
        <f t="shared" si="19"/>
        <v>0</v>
      </c>
      <c r="T27" s="30">
        <f t="shared" si="19"/>
        <v>0</v>
      </c>
      <c r="U27" s="30">
        <f t="shared" si="19"/>
        <v>223023576.32999998</v>
      </c>
      <c r="V27" s="142"/>
      <c r="W27" s="64"/>
    </row>
    <row r="28" spans="2:24" ht="17.25" hidden="1" customHeight="1" x14ac:dyDescent="0.25">
      <c r="B28" t="s">
        <v>146</v>
      </c>
      <c r="C28" s="117">
        <v>103509590</v>
      </c>
      <c r="D28" s="117">
        <v>8625799.166666666</v>
      </c>
      <c r="E28" s="117" t="s">
        <v>147</v>
      </c>
      <c r="F28" s="117"/>
      <c r="G28" s="117">
        <v>103509590</v>
      </c>
      <c r="H28" s="25">
        <v>12844000</v>
      </c>
      <c r="I28" s="25">
        <v>12479350</v>
      </c>
      <c r="J28" s="25">
        <v>12380000</v>
      </c>
      <c r="K28" s="25">
        <v>12382997</v>
      </c>
      <c r="L28" s="117">
        <f>+'[1]REVISIÓN MAYO 2025'!$C$19</f>
        <v>12324732.33</v>
      </c>
      <c r="M28" s="117">
        <v>12539599</v>
      </c>
      <c r="N28" s="74">
        <f>12366850-2</f>
        <v>12366848</v>
      </c>
      <c r="O28" s="74">
        <v>13273600</v>
      </c>
      <c r="P28" s="26">
        <v>12725500</v>
      </c>
      <c r="Q28" s="73">
        <v>12431750</v>
      </c>
      <c r="R28" s="26"/>
      <c r="S28" s="26"/>
      <c r="T28" s="74"/>
      <c r="U28" s="25">
        <f>SUM(H28:T28)</f>
        <v>125748376.33</v>
      </c>
      <c r="V28" s="142"/>
      <c r="W28" s="64"/>
    </row>
    <row r="29" spans="2:24" hidden="1" x14ac:dyDescent="0.25">
      <c r="B29" t="s">
        <v>148</v>
      </c>
      <c r="C29" s="117">
        <v>117214400</v>
      </c>
      <c r="D29" s="117">
        <v>9767866.666666666</v>
      </c>
      <c r="E29" s="117" t="s">
        <v>149</v>
      </c>
      <c r="F29" s="117"/>
      <c r="G29" s="117">
        <v>117214400</v>
      </c>
      <c r="H29" s="25">
        <v>9736500</v>
      </c>
      <c r="I29" s="25">
        <v>9736500</v>
      </c>
      <c r="J29" s="25">
        <v>9736500</v>
      </c>
      <c r="K29" s="25">
        <v>9738000</v>
      </c>
      <c r="L29" s="117">
        <f>+'[1]REVISIÓN MAYO 2025'!$C$20</f>
        <v>9693200</v>
      </c>
      <c r="M29" s="117">
        <v>9685500</v>
      </c>
      <c r="N29" s="74">
        <v>9718500</v>
      </c>
      <c r="O29" s="74">
        <v>9718500</v>
      </c>
      <c r="P29" s="26">
        <v>9744000</v>
      </c>
      <c r="Q29" s="73">
        <v>9768000</v>
      </c>
      <c r="R29" s="26"/>
      <c r="S29" s="26"/>
      <c r="T29" s="74"/>
      <c r="U29" s="25">
        <f>SUM(H29:T29)</f>
        <v>97275200</v>
      </c>
      <c r="V29" s="142"/>
      <c r="W29" s="64"/>
    </row>
    <row r="30" spans="2:24" x14ac:dyDescent="0.25">
      <c r="B30" s="16" t="s">
        <v>23</v>
      </c>
      <c r="C30" s="30">
        <f>SUM(C32:C34)</f>
        <v>432302000</v>
      </c>
      <c r="D30" s="117">
        <v>36025166.666666664</v>
      </c>
      <c r="E30" s="117"/>
      <c r="F30" s="117"/>
      <c r="G30" s="30">
        <f>SUM(G32:G34)</f>
        <v>432302000</v>
      </c>
      <c r="H30" s="25">
        <f>SUM(H32:H34)</f>
        <v>0</v>
      </c>
      <c r="I30" s="30">
        <f t="shared" ref="I30:U30" si="20">SUM(I32:I34)</f>
        <v>0</v>
      </c>
      <c r="J30" s="30">
        <f t="shared" si="20"/>
        <v>0</v>
      </c>
      <c r="K30" s="30">
        <f t="shared" si="20"/>
        <v>0</v>
      </c>
      <c r="L30" s="30">
        <f t="shared" si="20"/>
        <v>103400000</v>
      </c>
      <c r="M30" s="30">
        <f t="shared" si="20"/>
        <v>-550000</v>
      </c>
      <c r="N30" s="30">
        <f t="shared" si="20"/>
        <v>74997850.140000001</v>
      </c>
      <c r="O30" s="30">
        <f t="shared" si="20"/>
        <v>0</v>
      </c>
      <c r="P30" s="30">
        <f t="shared" si="20"/>
        <v>0</v>
      </c>
      <c r="Q30" s="30">
        <f t="shared" si="20"/>
        <v>0</v>
      </c>
      <c r="R30" s="30">
        <f t="shared" si="20"/>
        <v>0</v>
      </c>
      <c r="S30" s="30">
        <f t="shared" si="20"/>
        <v>0</v>
      </c>
      <c r="T30" s="30">
        <f t="shared" si="20"/>
        <v>0</v>
      </c>
      <c r="U30" s="30">
        <f t="shared" si="20"/>
        <v>177847850.13999999</v>
      </c>
      <c r="V30" s="142"/>
    </row>
    <row r="31" spans="2:24" hidden="1" x14ac:dyDescent="0.25">
      <c r="B31" s="16" t="s">
        <v>150</v>
      </c>
      <c r="C31" s="30">
        <f>SUM(C32:C34)</f>
        <v>432302000</v>
      </c>
      <c r="D31" s="117"/>
      <c r="E31" s="117"/>
      <c r="F31" s="117"/>
      <c r="G31" s="30">
        <f>SUM(G32:G34)</f>
        <v>432302000</v>
      </c>
      <c r="H31" s="25"/>
      <c r="I31" s="30">
        <f t="shared" ref="I31:U31" si="21">SUM(I32:I34)</f>
        <v>0</v>
      </c>
      <c r="J31" s="30">
        <f t="shared" si="21"/>
        <v>0</v>
      </c>
      <c r="K31" s="30">
        <f t="shared" si="21"/>
        <v>0</v>
      </c>
      <c r="L31" s="30">
        <f t="shared" si="21"/>
        <v>103400000</v>
      </c>
      <c r="M31" s="30">
        <f t="shared" si="21"/>
        <v>-550000</v>
      </c>
      <c r="N31" s="30">
        <f t="shared" si="21"/>
        <v>74997850.140000001</v>
      </c>
      <c r="O31" s="30">
        <f t="shared" si="21"/>
        <v>0</v>
      </c>
      <c r="P31" s="30">
        <f t="shared" si="21"/>
        <v>0</v>
      </c>
      <c r="Q31" s="30">
        <f t="shared" si="21"/>
        <v>0</v>
      </c>
      <c r="R31" s="30">
        <f t="shared" si="21"/>
        <v>0</v>
      </c>
      <c r="S31" s="30">
        <f t="shared" si="21"/>
        <v>0</v>
      </c>
      <c r="T31" s="30">
        <f t="shared" si="21"/>
        <v>0</v>
      </c>
      <c r="U31" s="30">
        <f t="shared" si="21"/>
        <v>177847850.13999999</v>
      </c>
      <c r="V31" s="142"/>
    </row>
    <row r="32" spans="2:24" hidden="1" x14ac:dyDescent="0.25">
      <c r="B32" t="s">
        <v>151</v>
      </c>
      <c r="C32" s="117">
        <v>148250000</v>
      </c>
      <c r="D32" s="117">
        <v>12354166.666666666</v>
      </c>
      <c r="E32" s="117"/>
      <c r="F32" s="117"/>
      <c r="G32" s="117">
        <v>148250000</v>
      </c>
      <c r="H32" s="25"/>
      <c r="I32" s="25">
        <v>0</v>
      </c>
      <c r="J32" s="117"/>
      <c r="K32" s="25"/>
      <c r="L32" s="117"/>
      <c r="M32" s="117"/>
      <c r="N32" s="117"/>
      <c r="O32" s="117"/>
      <c r="P32" s="117"/>
      <c r="Q32" s="117"/>
      <c r="R32" s="117"/>
      <c r="S32" s="117"/>
      <c r="T32" s="117"/>
      <c r="U32" s="25">
        <f>SUM(H32:T32)</f>
        <v>0</v>
      </c>
      <c r="V32" s="142"/>
    </row>
    <row r="33" spans="1:24" hidden="1" x14ac:dyDescent="0.25">
      <c r="B33" t="s">
        <v>152</v>
      </c>
      <c r="C33" s="117">
        <v>51552000</v>
      </c>
      <c r="D33" s="117">
        <v>4296000</v>
      </c>
      <c r="E33" s="117"/>
      <c r="F33" s="117"/>
      <c r="G33" s="117">
        <v>51552000</v>
      </c>
      <c r="H33" s="25"/>
      <c r="I33" s="25"/>
      <c r="J33" s="117"/>
      <c r="K33" s="25"/>
      <c r="L33" s="117"/>
      <c r="M33" s="117"/>
      <c r="N33" s="74">
        <v>74997850.140000001</v>
      </c>
      <c r="O33" s="74"/>
      <c r="P33" s="117"/>
      <c r="Q33" s="117"/>
      <c r="R33" s="117"/>
      <c r="S33" s="117"/>
      <c r="T33" s="74"/>
      <c r="U33" s="25">
        <f>SUM(H33:T33)</f>
        <v>74997850.140000001</v>
      </c>
      <c r="V33" s="142"/>
    </row>
    <row r="34" spans="1:24" hidden="1" x14ac:dyDescent="0.25">
      <c r="B34" t="s">
        <v>153</v>
      </c>
      <c r="C34" s="117">
        <v>232500000</v>
      </c>
      <c r="D34" s="117">
        <v>19375000</v>
      </c>
      <c r="E34" s="117"/>
      <c r="F34" s="117"/>
      <c r="G34" s="117">
        <v>232500000</v>
      </c>
      <c r="H34" s="25">
        <v>0</v>
      </c>
      <c r="I34" s="78"/>
      <c r="J34" s="117"/>
      <c r="K34" s="25"/>
      <c r="L34" s="117">
        <f>+'[1]REVISIÓN MAYO 2025'!$C$24</f>
        <v>103400000</v>
      </c>
      <c r="M34" s="117">
        <v>-550000</v>
      </c>
      <c r="N34" s="117"/>
      <c r="O34" s="117"/>
      <c r="P34" s="117"/>
      <c r="Q34" s="117"/>
      <c r="R34" s="117"/>
      <c r="S34" s="117"/>
      <c r="T34" s="117"/>
      <c r="U34" s="25">
        <f>SUM(H34:T34)</f>
        <v>102850000</v>
      </c>
      <c r="V34" s="142"/>
      <c r="W34" s="79"/>
    </row>
    <row r="35" spans="1:24" ht="15.75" thickBot="1" x14ac:dyDescent="0.3">
      <c r="B35" s="16" t="s">
        <v>24</v>
      </c>
      <c r="C35" s="30">
        <f>SUM(C37:C39)</f>
        <v>173911313</v>
      </c>
      <c r="D35" s="117">
        <v>14492609.416666666</v>
      </c>
      <c r="E35" s="117" t="s">
        <v>154</v>
      </c>
      <c r="F35" s="117"/>
      <c r="G35" s="30">
        <f>SUM(G37:G39)</f>
        <v>177115809</v>
      </c>
      <c r="H35" s="117">
        <f>SUM(H37:H39)</f>
        <v>14311501.709999999</v>
      </c>
      <c r="I35" s="117">
        <f>SUM(I37:I39)</f>
        <v>14285742.770000001</v>
      </c>
      <c r="J35" s="117">
        <f t="shared" ref="J35" si="22">SUM(J37:J39)</f>
        <v>0</v>
      </c>
      <c r="K35" s="117">
        <f>SUM(K37:K39)</f>
        <v>31537308.530000001</v>
      </c>
      <c r="L35" s="30">
        <f>SUM(L37:L39)</f>
        <v>0</v>
      </c>
      <c r="M35" s="30">
        <f>SUM(M37:M39)</f>
        <v>31455602.190000001</v>
      </c>
      <c r="N35" s="30">
        <f t="shared" ref="N35:U35" si="23">SUM(N37:N39)</f>
        <v>15673904.420000002</v>
      </c>
      <c r="O35" s="30">
        <f t="shared" si="23"/>
        <v>15707747.51</v>
      </c>
      <c r="P35" s="30">
        <f t="shared" si="23"/>
        <v>15702827.959999999</v>
      </c>
      <c r="Q35" s="30">
        <f t="shared" si="23"/>
        <v>15792427.16</v>
      </c>
      <c r="R35" s="30">
        <f t="shared" si="23"/>
        <v>0</v>
      </c>
      <c r="S35" s="30">
        <f t="shared" si="23"/>
        <v>0</v>
      </c>
      <c r="T35" s="30">
        <f t="shared" si="23"/>
        <v>0</v>
      </c>
      <c r="U35" s="30">
        <f t="shared" si="23"/>
        <v>154467062.24999997</v>
      </c>
      <c r="V35" s="142"/>
      <c r="W35" s="79"/>
    </row>
    <row r="36" spans="1:24" ht="15.75" hidden="1" thickBot="1" x14ac:dyDescent="0.3">
      <c r="B36" s="16" t="s">
        <v>155</v>
      </c>
      <c r="C36" s="75">
        <f>SUM(C37:C39)</f>
        <v>173911313</v>
      </c>
      <c r="D36" s="76"/>
      <c r="E36" s="76"/>
      <c r="F36" s="76"/>
      <c r="G36" s="75">
        <f>SUM(G37:G39)</f>
        <v>177115809</v>
      </c>
      <c r="H36" s="76"/>
      <c r="I36" s="76"/>
      <c r="J36" s="76"/>
      <c r="K36" s="76"/>
      <c r="L36" s="75"/>
      <c r="M36" s="75"/>
      <c r="N36" s="75">
        <f t="shared" ref="N36:U36" si="24">SUM(N37:N39)</f>
        <v>15673904.420000002</v>
      </c>
      <c r="O36" s="75">
        <f t="shared" si="24"/>
        <v>15707747.51</v>
      </c>
      <c r="P36" s="75">
        <f t="shared" si="24"/>
        <v>15702827.959999999</v>
      </c>
      <c r="Q36" s="75">
        <f t="shared" si="24"/>
        <v>15792427.16</v>
      </c>
      <c r="R36" s="75">
        <f t="shared" si="24"/>
        <v>0</v>
      </c>
      <c r="S36" s="75">
        <f t="shared" si="24"/>
        <v>0</v>
      </c>
      <c r="T36" s="75">
        <f t="shared" si="24"/>
        <v>0</v>
      </c>
      <c r="U36" s="75">
        <f t="shared" si="24"/>
        <v>154467062.24999997</v>
      </c>
      <c r="W36" s="79"/>
    </row>
    <row r="37" spans="1:24" ht="15.75" hidden="1" thickBot="1" x14ac:dyDescent="0.3">
      <c r="B37" t="s">
        <v>156</v>
      </c>
      <c r="C37" s="13">
        <v>82824162</v>
      </c>
      <c r="D37" s="13">
        <v>6902013.5</v>
      </c>
      <c r="E37" s="13"/>
      <c r="F37" s="13"/>
      <c r="G37" s="13">
        <v>82824162</v>
      </c>
      <c r="H37" s="13">
        <v>6662115.7800000003</v>
      </c>
      <c r="I37" s="13">
        <v>6650107.0899999999</v>
      </c>
      <c r="J37" s="13"/>
      <c r="K37" s="25">
        <v>14684520.85</v>
      </c>
      <c r="L37" s="13"/>
      <c r="M37" s="13">
        <v>14640662.390000001</v>
      </c>
      <c r="N37" s="80">
        <v>7295363.1900000004</v>
      </c>
      <c r="O37" s="74">
        <v>7311032.2999999998</v>
      </c>
      <c r="P37" s="26">
        <v>7308751.0899999999</v>
      </c>
      <c r="Q37" s="73">
        <v>7350298.5499999998</v>
      </c>
      <c r="R37" s="26"/>
      <c r="S37" s="26"/>
      <c r="T37" s="74"/>
      <c r="U37" s="25">
        <f>SUM(H37:T37)</f>
        <v>71902851.239999995</v>
      </c>
      <c r="W37" s="79"/>
    </row>
    <row r="38" spans="1:24" ht="15.75" hidden="1" thickBot="1" x14ac:dyDescent="0.3">
      <c r="B38" t="s">
        <v>157</v>
      </c>
      <c r="C38" s="13">
        <v>83053066</v>
      </c>
      <c r="D38" s="13">
        <v>6921088.833333333</v>
      </c>
      <c r="E38" s="13"/>
      <c r="F38" s="13"/>
      <c r="G38" s="13">
        <v>83053066</v>
      </c>
      <c r="H38" s="13">
        <v>6680451.9000000004</v>
      </c>
      <c r="I38" s="25">
        <v>6668426.2800000003</v>
      </c>
      <c r="J38" s="25"/>
      <c r="K38" s="25">
        <v>14724759.030000001</v>
      </c>
      <c r="L38" s="13"/>
      <c r="M38" s="13">
        <v>14675016.09</v>
      </c>
      <c r="N38" s="80">
        <v>7312490.8600000003</v>
      </c>
      <c r="O38" s="74">
        <v>7328196.0499999998</v>
      </c>
      <c r="P38" s="26">
        <v>7325911.6299999999</v>
      </c>
      <c r="Q38" s="73">
        <v>7367517.5</v>
      </c>
      <c r="R38" s="26"/>
      <c r="S38" s="26"/>
      <c r="T38" s="74"/>
      <c r="U38" s="25">
        <f>SUM(H38:T38)</f>
        <v>72082769.340000004</v>
      </c>
      <c r="W38" s="79"/>
    </row>
    <row r="39" spans="1:24" ht="15.75" hidden="1" thickBot="1" x14ac:dyDescent="0.3">
      <c r="B39" t="s">
        <v>158</v>
      </c>
      <c r="C39" s="13">
        <v>8034085</v>
      </c>
      <c r="D39" s="13">
        <v>669507.08333333337</v>
      </c>
      <c r="E39" s="13"/>
      <c r="F39" s="13">
        <v>3204496</v>
      </c>
      <c r="G39" s="13">
        <f>+C39+F39</f>
        <v>11238581</v>
      </c>
      <c r="H39" s="13">
        <v>968934.03</v>
      </c>
      <c r="I39" s="13">
        <v>967209.4</v>
      </c>
      <c r="J39" s="13"/>
      <c r="K39" s="25">
        <v>2128028.65</v>
      </c>
      <c r="L39" s="13"/>
      <c r="M39" s="13">
        <v>2139923.71</v>
      </c>
      <c r="N39" s="81">
        <v>1066050.3700000001</v>
      </c>
      <c r="O39" s="82">
        <v>1068519.1599999999</v>
      </c>
      <c r="P39" s="82">
        <v>1068165.24</v>
      </c>
      <c r="Q39" s="83">
        <v>1074611.1100000001</v>
      </c>
      <c r="R39" s="26"/>
      <c r="S39" s="26"/>
      <c r="T39" s="82"/>
      <c r="U39" s="25">
        <f>SUM(H39:T39)</f>
        <v>10481441.67</v>
      </c>
      <c r="W39" s="64"/>
      <c r="X39" s="65"/>
    </row>
    <row r="40" spans="1:24" ht="15.75" thickBot="1" x14ac:dyDescent="0.3">
      <c r="A40" s="84"/>
      <c r="B40" s="85" t="s">
        <v>159</v>
      </c>
      <c r="C40" s="63">
        <f>+C41+C52+C57+C64+C77+C82+C92</f>
        <v>882498565</v>
      </c>
      <c r="D40" s="62">
        <v>73537380.416666701</v>
      </c>
      <c r="E40" s="62" t="s">
        <v>160</v>
      </c>
      <c r="F40" s="62">
        <f>+F43+F61</f>
        <v>8021782.1699999999</v>
      </c>
      <c r="G40" s="63">
        <f>+G41+G52+G57+G64+G77+G82+G92</f>
        <v>890520347.17000008</v>
      </c>
      <c r="H40" s="62">
        <f>+H41+H52+H57+H64+H77+H82+H92+H222</f>
        <v>165058114.84999999</v>
      </c>
      <c r="I40" s="62">
        <f>+I41+I52+I57+I64+I77+I82+I92</f>
        <v>18121023.669999998</v>
      </c>
      <c r="J40" s="62">
        <f>+J41+J52+J57+J64+J77+J82+J92+J222</f>
        <v>66142567.840000004</v>
      </c>
      <c r="K40" s="62">
        <f>+K41+K52+K57+K64+K77+K82+K92+K222</f>
        <v>285810727.02999997</v>
      </c>
      <c r="L40" s="62">
        <f t="shared" ref="L40:U40" si="25">+L41+L52+L57+L64+L77+L82+L92</f>
        <v>79845380.480000004</v>
      </c>
      <c r="M40" s="63">
        <f t="shared" si="25"/>
        <v>78348713.830000013</v>
      </c>
      <c r="N40" s="86">
        <f>+N41+N52+N57+N64+N77+N82+N92</f>
        <v>42651684.930000007</v>
      </c>
      <c r="O40" s="86">
        <f t="shared" si="25"/>
        <v>76517346.609999999</v>
      </c>
      <c r="P40" s="86">
        <f t="shared" si="25"/>
        <v>50031640.030000001</v>
      </c>
      <c r="Q40" s="86">
        <f t="shared" si="25"/>
        <v>50814744.979999997</v>
      </c>
      <c r="R40" s="86">
        <f t="shared" si="25"/>
        <v>0</v>
      </c>
      <c r="S40" s="86">
        <f t="shared" si="25"/>
        <v>0</v>
      </c>
      <c r="T40" s="86">
        <f t="shared" si="25"/>
        <v>0</v>
      </c>
      <c r="U40" s="86">
        <f t="shared" si="25"/>
        <v>876674615.07999992</v>
      </c>
      <c r="W40" s="64"/>
      <c r="X40" s="65"/>
    </row>
    <row r="41" spans="1:24" x14ac:dyDescent="0.25">
      <c r="B41" s="16" t="s">
        <v>26</v>
      </c>
      <c r="C41" s="30">
        <f>+C42+C44+C46+C48+C50</f>
        <v>68742951</v>
      </c>
      <c r="D41" s="117">
        <v>5728579.25</v>
      </c>
      <c r="E41" s="117"/>
      <c r="F41" s="117"/>
      <c r="G41" s="30">
        <f>+G42+G44+G46+G48+G50</f>
        <v>75681363.170000002</v>
      </c>
      <c r="H41" s="30">
        <f>+H42+H44+H46+H48+H50</f>
        <v>8490856.5099999998</v>
      </c>
      <c r="I41" s="30">
        <f t="shared" ref="I41:J41" si="26">+I42+I44+I46+I48+I50</f>
        <v>4885356.57</v>
      </c>
      <c r="J41" s="30">
        <f t="shared" si="26"/>
        <v>5087047.96</v>
      </c>
      <c r="K41" s="30">
        <f>+K42+K44+K46+K48+K50</f>
        <v>5499255.8599999994</v>
      </c>
      <c r="L41" s="30">
        <f>+L42+L44+L46+L48+L50</f>
        <v>5294065.2</v>
      </c>
      <c r="M41" s="30">
        <f t="shared" ref="M41" si="27">+M42+M44+M46+M48+M50</f>
        <v>6019245.6800000006</v>
      </c>
      <c r="N41" s="30">
        <f>+N42+N44+N46+N48+N50</f>
        <v>6211443.5800000001</v>
      </c>
      <c r="O41" s="30">
        <f>+O42+O44+O46+O48+O50</f>
        <v>6652522.7000000002</v>
      </c>
      <c r="P41" s="30">
        <f>+P42+P44+P46+P48+P50</f>
        <v>6370568.9400000004</v>
      </c>
      <c r="Q41" s="30">
        <f>+Q42+Q44+Q46+Q48+Q50</f>
        <v>6016775.4199999999</v>
      </c>
      <c r="R41" s="30">
        <f t="shared" ref="R41:U41" si="28">+R42+R44+R46+R48+R50</f>
        <v>0</v>
      </c>
      <c r="S41" s="30">
        <f t="shared" si="28"/>
        <v>0</v>
      </c>
      <c r="T41" s="30">
        <f t="shared" si="28"/>
        <v>0</v>
      </c>
      <c r="U41" s="30">
        <f t="shared" si="28"/>
        <v>60527138.420000009</v>
      </c>
      <c r="V41" s="142"/>
      <c r="W41" s="64"/>
    </row>
    <row r="42" spans="1:24" hidden="1" x14ac:dyDescent="0.25">
      <c r="B42" s="16" t="s">
        <v>161</v>
      </c>
      <c r="C42" s="30">
        <f>+C43</f>
        <v>23105315</v>
      </c>
      <c r="D42" s="117"/>
      <c r="E42" s="117"/>
      <c r="F42" s="117"/>
      <c r="G42" s="30">
        <f>+G43</f>
        <v>30043727.170000002</v>
      </c>
      <c r="H42" s="30">
        <f>+H43</f>
        <v>4955481.97</v>
      </c>
      <c r="I42" s="30">
        <f t="shared" ref="I42:U42" si="29">+I43</f>
        <v>1965258.95</v>
      </c>
      <c r="J42" s="30">
        <f t="shared" si="29"/>
        <v>2118124.5099999998</v>
      </c>
      <c r="K42" s="30">
        <f t="shared" si="29"/>
        <v>1807397.21</v>
      </c>
      <c r="L42" s="30">
        <f t="shared" si="29"/>
        <v>1922615.39</v>
      </c>
      <c r="M42" s="30">
        <f t="shared" si="29"/>
        <v>2091704.6</v>
      </c>
      <c r="N42" s="30">
        <f t="shared" si="29"/>
        <v>2042087.52</v>
      </c>
      <c r="O42" s="30">
        <f t="shared" si="29"/>
        <v>2184357.0100000002</v>
      </c>
      <c r="P42" s="30">
        <f t="shared" si="29"/>
        <v>2238620.52</v>
      </c>
      <c r="Q42" s="30">
        <f t="shared" si="29"/>
        <v>1874699.73</v>
      </c>
      <c r="R42" s="30">
        <f t="shared" si="29"/>
        <v>0</v>
      </c>
      <c r="S42" s="30">
        <f t="shared" si="29"/>
        <v>0</v>
      </c>
      <c r="T42" s="30">
        <f t="shared" si="29"/>
        <v>0</v>
      </c>
      <c r="U42" s="30">
        <f t="shared" si="29"/>
        <v>23200347.410000004</v>
      </c>
      <c r="V42" s="142"/>
      <c r="W42" s="64"/>
    </row>
    <row r="43" spans="1:24" hidden="1" x14ac:dyDescent="0.25">
      <c r="B43" t="s">
        <v>162</v>
      </c>
      <c r="C43" s="117">
        <v>23105315</v>
      </c>
      <c r="D43" s="117">
        <v>1925442.9166666667</v>
      </c>
      <c r="E43" s="117" t="s">
        <v>163</v>
      </c>
      <c r="F43" s="117">
        <v>6938412.1699999999</v>
      </c>
      <c r="G43" s="117">
        <f>+C43+F43</f>
        <v>30043727.170000002</v>
      </c>
      <c r="H43" s="25">
        <v>4955481.97</v>
      </c>
      <c r="I43" s="25">
        <v>1965258.95</v>
      </c>
      <c r="J43" s="25">
        <v>2118124.5099999998</v>
      </c>
      <c r="K43" s="25">
        <v>1807397.21</v>
      </c>
      <c r="L43" s="117">
        <f>+'[1]REVISIÓN MAYO 2025'!$C$32</f>
        <v>1922615.39</v>
      </c>
      <c r="M43" s="117">
        <v>2091704.6</v>
      </c>
      <c r="N43" s="74">
        <v>2042087.52</v>
      </c>
      <c r="O43" s="74">
        <v>2184357.0100000002</v>
      </c>
      <c r="P43" s="26">
        <v>2238620.52</v>
      </c>
      <c r="Q43" s="73">
        <v>1874699.73</v>
      </c>
      <c r="R43" s="26"/>
      <c r="S43" s="26"/>
      <c r="T43" s="74"/>
      <c r="U43" s="25">
        <f>SUM(H43:T43)</f>
        <v>23200347.410000004</v>
      </c>
      <c r="V43" s="142"/>
      <c r="W43" s="64"/>
    </row>
    <row r="44" spans="1:24" hidden="1" x14ac:dyDescent="0.25">
      <c r="B44" t="s">
        <v>164</v>
      </c>
      <c r="C44" s="117">
        <f>+C45</f>
        <v>2500815</v>
      </c>
      <c r="D44" s="117"/>
      <c r="E44" s="117"/>
      <c r="F44" s="117"/>
      <c r="G44" s="117">
        <f t="shared" ref="G44" si="30">+G45</f>
        <v>2500815</v>
      </c>
      <c r="H44" s="117">
        <f>+H45</f>
        <v>227373.26</v>
      </c>
      <c r="I44" s="117">
        <f t="shared" ref="I44:U44" si="31">+I45</f>
        <v>43305.35</v>
      </c>
      <c r="J44" s="117">
        <f t="shared" si="31"/>
        <v>39483.800000000003</v>
      </c>
      <c r="K44" s="117">
        <f t="shared" si="31"/>
        <v>46755.270000000004</v>
      </c>
      <c r="L44" s="117">
        <f t="shared" si="31"/>
        <v>43420.71</v>
      </c>
      <c r="M44" s="117">
        <f t="shared" si="31"/>
        <v>222266.22</v>
      </c>
      <c r="N44" s="117">
        <f t="shared" si="31"/>
        <v>227260.5</v>
      </c>
      <c r="O44" s="117">
        <f t="shared" si="31"/>
        <v>232632.29</v>
      </c>
      <c r="P44" s="117">
        <f t="shared" si="31"/>
        <v>44112.700000000004</v>
      </c>
      <c r="Q44" s="117">
        <f t="shared" si="31"/>
        <v>46482.7</v>
      </c>
      <c r="R44" s="117">
        <f t="shared" si="31"/>
        <v>0</v>
      </c>
      <c r="S44" s="117">
        <f t="shared" si="31"/>
        <v>0</v>
      </c>
      <c r="T44" s="117">
        <f t="shared" si="31"/>
        <v>0</v>
      </c>
      <c r="U44" s="117">
        <f t="shared" si="31"/>
        <v>1173092.7999999998</v>
      </c>
      <c r="V44" s="142"/>
      <c r="W44" s="64"/>
    </row>
    <row r="45" spans="1:24" hidden="1" x14ac:dyDescent="0.25">
      <c r="B45" t="s">
        <v>165</v>
      </c>
      <c r="C45" s="117">
        <v>2500815</v>
      </c>
      <c r="D45" s="117">
        <v>208401.25</v>
      </c>
      <c r="E45" s="117" t="s">
        <v>166</v>
      </c>
      <c r="F45" s="117"/>
      <c r="G45" s="117">
        <v>2500815</v>
      </c>
      <c r="H45" s="25">
        <v>227373.26</v>
      </c>
      <c r="I45" s="25">
        <v>43305.35</v>
      </c>
      <c r="J45" s="25">
        <v>39483.800000000003</v>
      </c>
      <c r="K45" s="25">
        <v>46755.270000000004</v>
      </c>
      <c r="L45" s="117">
        <f>+'[1]REVISIÓN MAYO 2025'!$C$33</f>
        <v>43420.71</v>
      </c>
      <c r="M45" s="117">
        <v>222266.22</v>
      </c>
      <c r="N45" s="74">
        <v>227260.5</v>
      </c>
      <c r="O45" s="74">
        <v>232632.29</v>
      </c>
      <c r="P45" s="26">
        <v>44112.700000000004</v>
      </c>
      <c r="Q45" s="73">
        <v>46482.7</v>
      </c>
      <c r="R45" s="26"/>
      <c r="S45" s="26"/>
      <c r="T45" s="74"/>
      <c r="U45" s="25">
        <f>SUM(H45:T45)</f>
        <v>1173092.7999999998</v>
      </c>
      <c r="V45" s="142"/>
      <c r="W45" s="64"/>
    </row>
    <row r="46" spans="1:24" hidden="1" x14ac:dyDescent="0.25">
      <c r="B46" t="s">
        <v>167</v>
      </c>
      <c r="C46" s="117">
        <f>+C47</f>
        <v>41382153</v>
      </c>
      <c r="D46" s="117"/>
      <c r="E46" s="117"/>
      <c r="F46" s="117"/>
      <c r="G46" s="117">
        <f>+G47</f>
        <v>41382153</v>
      </c>
      <c r="H46" s="117">
        <f>+H47</f>
        <v>3163423.2800000003</v>
      </c>
      <c r="I46" s="117">
        <f t="shared" ref="I46:U46" si="32">+I47</f>
        <v>2732214.27</v>
      </c>
      <c r="J46" s="117">
        <f t="shared" si="32"/>
        <v>2774447.45</v>
      </c>
      <c r="K46" s="117">
        <f t="shared" si="32"/>
        <v>3514393.38</v>
      </c>
      <c r="L46" s="117">
        <f t="shared" si="32"/>
        <v>3159502.7</v>
      </c>
      <c r="M46" s="117">
        <f t="shared" si="32"/>
        <v>3560696.66</v>
      </c>
      <c r="N46" s="117">
        <f t="shared" si="32"/>
        <v>3797517.36</v>
      </c>
      <c r="O46" s="117">
        <f t="shared" si="32"/>
        <v>4090955.2</v>
      </c>
      <c r="P46" s="117">
        <f t="shared" si="32"/>
        <v>3943257.52</v>
      </c>
      <c r="Q46" s="117">
        <f t="shared" si="32"/>
        <v>3911014.79</v>
      </c>
      <c r="R46" s="117">
        <f t="shared" si="32"/>
        <v>0</v>
      </c>
      <c r="S46" s="117">
        <f t="shared" si="32"/>
        <v>0</v>
      </c>
      <c r="T46" s="117">
        <f t="shared" si="32"/>
        <v>0</v>
      </c>
      <c r="U46" s="117">
        <f t="shared" si="32"/>
        <v>34647422.609999999</v>
      </c>
      <c r="V46" s="142"/>
      <c r="W46" s="64"/>
    </row>
    <row r="47" spans="1:24" hidden="1" x14ac:dyDescent="0.25">
      <c r="B47" t="s">
        <v>168</v>
      </c>
      <c r="C47" s="117">
        <v>41382153</v>
      </c>
      <c r="D47" s="117">
        <v>3448512.75</v>
      </c>
      <c r="E47" s="117" t="s">
        <v>169</v>
      </c>
      <c r="F47" s="117"/>
      <c r="G47" s="117">
        <v>41382153</v>
      </c>
      <c r="H47" s="25">
        <v>3163423.2800000003</v>
      </c>
      <c r="I47" s="25">
        <v>2732214.27</v>
      </c>
      <c r="J47" s="25">
        <v>2774447.45</v>
      </c>
      <c r="K47" s="25">
        <v>3514393.38</v>
      </c>
      <c r="L47" s="117">
        <f>+'[1]REVISIÓN MAYO 2025'!$C$34</f>
        <v>3159502.7</v>
      </c>
      <c r="M47" s="117">
        <v>3560696.66</v>
      </c>
      <c r="N47" s="74">
        <v>3797517.36</v>
      </c>
      <c r="O47" s="74">
        <v>4090955.2</v>
      </c>
      <c r="P47" s="26">
        <v>3943257.52</v>
      </c>
      <c r="Q47" s="73">
        <f>3851365.95+59648.84</f>
        <v>3911014.79</v>
      </c>
      <c r="R47" s="26"/>
      <c r="S47" s="26"/>
      <c r="T47" s="74"/>
      <c r="U47" s="25">
        <f>SUM(H47:T47)</f>
        <v>34647422.609999999</v>
      </c>
      <c r="V47" s="142"/>
      <c r="W47" s="64"/>
    </row>
    <row r="48" spans="1:24" hidden="1" x14ac:dyDescent="0.25">
      <c r="B48" t="s">
        <v>170</v>
      </c>
      <c r="C48" s="117">
        <f>+C49</f>
        <v>307108</v>
      </c>
      <c r="D48" s="117"/>
      <c r="E48" s="117"/>
      <c r="F48" s="117"/>
      <c r="G48" s="117">
        <f>+G49</f>
        <v>307108</v>
      </c>
      <c r="H48" s="117">
        <f>+H49</f>
        <v>23948</v>
      </c>
      <c r="I48" s="117">
        <f t="shared" ref="I48:U48" si="33">+I49</f>
        <v>23948</v>
      </c>
      <c r="J48" s="117">
        <f t="shared" si="33"/>
        <v>34362.199999999997</v>
      </c>
      <c r="K48" s="117">
        <f t="shared" si="33"/>
        <v>10000</v>
      </c>
      <c r="L48" s="117">
        <f t="shared" si="33"/>
        <v>47896.4</v>
      </c>
      <c r="M48" s="117">
        <f t="shared" si="33"/>
        <v>23948.2</v>
      </c>
      <c r="N48" s="117">
        <f t="shared" si="33"/>
        <v>23948.2</v>
      </c>
      <c r="O48" s="117">
        <f t="shared" si="33"/>
        <v>23948.2</v>
      </c>
      <c r="P48" s="117">
        <f t="shared" si="33"/>
        <v>23948.2</v>
      </c>
      <c r="Q48" s="117">
        <f t="shared" si="33"/>
        <v>63948.2</v>
      </c>
      <c r="R48" s="117">
        <f t="shared" si="33"/>
        <v>0</v>
      </c>
      <c r="S48" s="117">
        <f t="shared" si="33"/>
        <v>0</v>
      </c>
      <c r="T48" s="117">
        <f t="shared" si="33"/>
        <v>0</v>
      </c>
      <c r="U48" s="117">
        <f t="shared" si="33"/>
        <v>299895.60000000003</v>
      </c>
      <c r="V48" s="142"/>
      <c r="W48" s="64"/>
    </row>
    <row r="49" spans="2:23" hidden="1" x14ac:dyDescent="0.25">
      <c r="B49" t="s">
        <v>171</v>
      </c>
      <c r="C49" s="117">
        <v>307108</v>
      </c>
      <c r="D49" s="117">
        <v>25592.333333333332</v>
      </c>
      <c r="E49" s="117" t="s">
        <v>172</v>
      </c>
      <c r="F49" s="117"/>
      <c r="G49" s="117">
        <v>307108</v>
      </c>
      <c r="H49" s="25">
        <v>23948</v>
      </c>
      <c r="I49" s="25">
        <v>23948</v>
      </c>
      <c r="J49" s="25">
        <v>34362.199999999997</v>
      </c>
      <c r="K49" s="25">
        <v>10000</v>
      </c>
      <c r="L49" s="117">
        <f>+'[1]REVISIÓN MAYO 2025'!$C$35</f>
        <v>47896.4</v>
      </c>
      <c r="M49" s="117">
        <v>23948.2</v>
      </c>
      <c r="N49" s="142">
        <v>23948.2</v>
      </c>
      <c r="O49" s="142">
        <v>23948.2</v>
      </c>
      <c r="P49" s="26">
        <v>23948.2</v>
      </c>
      <c r="Q49" s="73">
        <v>63948.2</v>
      </c>
      <c r="R49" s="26"/>
      <c r="S49" s="26"/>
      <c r="T49" s="142"/>
      <c r="U49" s="25">
        <f>SUM(H49:T49)</f>
        <v>299895.60000000003</v>
      </c>
      <c r="V49" s="142"/>
      <c r="W49" s="64"/>
    </row>
    <row r="50" spans="2:23" hidden="1" x14ac:dyDescent="0.25">
      <c r="B50" t="s">
        <v>173</v>
      </c>
      <c r="C50" s="117">
        <f>+C51</f>
        <v>1447560</v>
      </c>
      <c r="D50" s="117"/>
      <c r="E50" s="117"/>
      <c r="F50" s="117"/>
      <c r="G50" s="117">
        <f t="shared" ref="G50:U50" si="34">+G51</f>
        <v>1447560</v>
      </c>
      <c r="H50" s="117">
        <f t="shared" si="34"/>
        <v>120630</v>
      </c>
      <c r="I50" s="117">
        <f t="shared" si="34"/>
        <v>120630</v>
      </c>
      <c r="J50" s="117">
        <f t="shared" si="34"/>
        <v>120630</v>
      </c>
      <c r="K50" s="117">
        <f t="shared" si="34"/>
        <v>120710</v>
      </c>
      <c r="L50" s="117">
        <f t="shared" si="34"/>
        <v>120630</v>
      </c>
      <c r="M50" s="117">
        <f t="shared" si="34"/>
        <v>120630</v>
      </c>
      <c r="N50" s="117">
        <f t="shared" si="34"/>
        <v>120630</v>
      </c>
      <c r="O50" s="117">
        <f t="shared" si="34"/>
        <v>120630</v>
      </c>
      <c r="P50" s="117">
        <f t="shared" si="34"/>
        <v>120630</v>
      </c>
      <c r="Q50" s="117">
        <f t="shared" si="34"/>
        <v>120630</v>
      </c>
      <c r="R50" s="117">
        <f t="shared" si="34"/>
        <v>0</v>
      </c>
      <c r="S50" s="117">
        <f t="shared" si="34"/>
        <v>0</v>
      </c>
      <c r="T50" s="117">
        <f t="shared" si="34"/>
        <v>0</v>
      </c>
      <c r="U50" s="117">
        <f t="shared" si="34"/>
        <v>1206380</v>
      </c>
      <c r="V50" s="142"/>
      <c r="W50" s="64"/>
    </row>
    <row r="51" spans="2:23" hidden="1" x14ac:dyDescent="0.25">
      <c r="B51" t="s">
        <v>174</v>
      </c>
      <c r="C51" s="117">
        <v>1447560</v>
      </c>
      <c r="D51" s="117">
        <v>120630</v>
      </c>
      <c r="E51" s="117" t="s">
        <v>175</v>
      </c>
      <c r="F51" s="117"/>
      <c r="G51" s="117">
        <v>1447560</v>
      </c>
      <c r="H51" s="25">
        <v>120630</v>
      </c>
      <c r="I51" s="25">
        <v>120630</v>
      </c>
      <c r="J51" s="25">
        <v>120630</v>
      </c>
      <c r="K51" s="25">
        <v>120710</v>
      </c>
      <c r="L51" s="117">
        <f>+'[1]REVISIÓN MAYO 2025'!$C$36</f>
        <v>120630</v>
      </c>
      <c r="M51" s="117">
        <v>120630</v>
      </c>
      <c r="N51" s="74">
        <v>120630</v>
      </c>
      <c r="O51" s="74">
        <v>120630</v>
      </c>
      <c r="P51" s="26">
        <v>120630</v>
      </c>
      <c r="Q51" s="73">
        <v>120630</v>
      </c>
      <c r="R51" s="26"/>
      <c r="S51" s="26"/>
      <c r="T51" s="74"/>
      <c r="U51" s="25">
        <f>SUM(H51:T51)</f>
        <v>1206380</v>
      </c>
      <c r="V51" s="142"/>
    </row>
    <row r="52" spans="2:23" x14ac:dyDescent="0.25">
      <c r="B52" s="16" t="s">
        <v>27</v>
      </c>
      <c r="C52" s="110">
        <f>+C53+C55</f>
        <v>185365938</v>
      </c>
      <c r="D52" s="117">
        <v>15447161.5</v>
      </c>
      <c r="E52" s="117"/>
      <c r="F52" s="117"/>
      <c r="G52" s="110">
        <f t="shared" ref="G52:P52" si="35">+G53+G55</f>
        <v>185365938</v>
      </c>
      <c r="H52" s="110">
        <f t="shared" si="35"/>
        <v>21959274.309999999</v>
      </c>
      <c r="I52" s="110">
        <f t="shared" si="35"/>
        <v>1982791.94</v>
      </c>
      <c r="J52" s="110">
        <f t="shared" si="35"/>
        <v>2221778.42</v>
      </c>
      <c r="K52" s="110">
        <f>+K53+K55</f>
        <v>14627654.950000001</v>
      </c>
      <c r="L52" s="110">
        <f>+L53+L55</f>
        <v>23262108.32</v>
      </c>
      <c r="M52" s="110">
        <f t="shared" si="35"/>
        <v>28274179.720000003</v>
      </c>
      <c r="N52" s="110">
        <f t="shared" si="35"/>
        <v>11973832.66</v>
      </c>
      <c r="O52" s="110">
        <f t="shared" si="35"/>
        <v>20426393.710000001</v>
      </c>
      <c r="P52" s="110">
        <f t="shared" si="35"/>
        <v>4885443.87</v>
      </c>
      <c r="Q52" s="110">
        <f>+Q53+Q55</f>
        <v>7596187.9900000002</v>
      </c>
      <c r="R52" s="110">
        <f t="shared" ref="R52:U52" si="36">+R53+R55</f>
        <v>0</v>
      </c>
      <c r="S52" s="110">
        <f t="shared" si="36"/>
        <v>0</v>
      </c>
      <c r="T52" s="110">
        <f t="shared" si="36"/>
        <v>0</v>
      </c>
      <c r="U52" s="110">
        <f t="shared" si="36"/>
        <v>137209645.89000002</v>
      </c>
      <c r="V52" s="142"/>
      <c r="W52" s="64"/>
    </row>
    <row r="53" spans="2:23" hidden="1" x14ac:dyDescent="0.25">
      <c r="B53" s="16" t="s">
        <v>176</v>
      </c>
      <c r="C53" s="110">
        <f>+C54</f>
        <v>170000000</v>
      </c>
      <c r="D53" s="117"/>
      <c r="E53" s="117"/>
      <c r="F53" s="117"/>
      <c r="G53" s="110">
        <f t="shared" ref="G53:U53" si="37">+G54</f>
        <v>170000000</v>
      </c>
      <c r="H53" s="110">
        <f t="shared" si="37"/>
        <v>20971660</v>
      </c>
      <c r="I53" s="110">
        <f t="shared" si="37"/>
        <v>1233006</v>
      </c>
      <c r="J53" s="110">
        <f t="shared" si="37"/>
        <v>1478845.51</v>
      </c>
      <c r="K53" s="110">
        <f t="shared" si="37"/>
        <v>13640579.290000001</v>
      </c>
      <c r="L53" s="110">
        <f t="shared" si="37"/>
        <v>19061940</v>
      </c>
      <c r="M53" s="110">
        <f t="shared" si="37"/>
        <v>27371317.690000001</v>
      </c>
      <c r="N53" s="110">
        <f t="shared" si="37"/>
        <v>10559004.699999999</v>
      </c>
      <c r="O53" s="110">
        <f t="shared" si="37"/>
        <v>19638593.300000001</v>
      </c>
      <c r="P53" s="110">
        <f t="shared" si="37"/>
        <v>3088682.54</v>
      </c>
      <c r="Q53" s="110">
        <f t="shared" si="37"/>
        <v>5760708.04</v>
      </c>
      <c r="R53" s="110">
        <f t="shared" si="37"/>
        <v>0</v>
      </c>
      <c r="S53" s="110">
        <f t="shared" si="37"/>
        <v>0</v>
      </c>
      <c r="T53" s="110">
        <f t="shared" si="37"/>
        <v>0</v>
      </c>
      <c r="U53" s="110">
        <f t="shared" si="37"/>
        <v>122804337.07000002</v>
      </c>
      <c r="V53" s="142"/>
      <c r="W53" s="64"/>
    </row>
    <row r="54" spans="2:23" hidden="1" x14ac:dyDescent="0.25">
      <c r="B54" t="s">
        <v>177</v>
      </c>
      <c r="C54" s="117">
        <v>170000000</v>
      </c>
      <c r="D54" s="117">
        <v>14166666.666666666</v>
      </c>
      <c r="E54" s="117" t="s">
        <v>178</v>
      </c>
      <c r="F54" s="117"/>
      <c r="G54" s="117">
        <v>170000000</v>
      </c>
      <c r="H54" s="25">
        <v>20971660</v>
      </c>
      <c r="I54" s="25">
        <v>1233006</v>
      </c>
      <c r="J54" s="25">
        <v>1478845.51</v>
      </c>
      <c r="K54" s="25">
        <v>13640579.290000001</v>
      </c>
      <c r="L54" s="117">
        <f>+'[1]REVISIÓN MAYO 2025'!$C$38</f>
        <v>19061940</v>
      </c>
      <c r="M54" s="117">
        <v>27371317.690000001</v>
      </c>
      <c r="N54" s="74">
        <v>10559004.699999999</v>
      </c>
      <c r="O54" s="74">
        <v>19638593.300000001</v>
      </c>
      <c r="P54" s="26">
        <v>3088682.54</v>
      </c>
      <c r="Q54" s="73">
        <f>5768068.09-7360.05</f>
        <v>5760708.04</v>
      </c>
      <c r="R54" s="26"/>
      <c r="S54" s="26"/>
      <c r="T54" s="74"/>
      <c r="U54" s="25">
        <f>SUM(H54:T54)</f>
        <v>122804337.07000002</v>
      </c>
      <c r="V54" s="142"/>
      <c r="W54" s="64"/>
    </row>
    <row r="55" spans="2:23" hidden="1" x14ac:dyDescent="0.25">
      <c r="B55" s="16" t="s">
        <v>179</v>
      </c>
      <c r="C55" s="117">
        <f>+C56</f>
        <v>15365938</v>
      </c>
      <c r="D55" s="117"/>
      <c r="E55" s="117"/>
      <c r="F55" s="117"/>
      <c r="G55" s="117">
        <f t="shared" ref="G55:U55" si="38">+G56</f>
        <v>15365938</v>
      </c>
      <c r="H55" s="117">
        <f t="shared" si="38"/>
        <v>987614.31</v>
      </c>
      <c r="I55" s="117">
        <f t="shared" si="38"/>
        <v>749785.94000000006</v>
      </c>
      <c r="J55" s="117">
        <f t="shared" si="38"/>
        <v>742932.91</v>
      </c>
      <c r="K55" s="117">
        <f t="shared" si="38"/>
        <v>987075.66</v>
      </c>
      <c r="L55" s="117">
        <f t="shared" si="38"/>
        <v>4200168.32</v>
      </c>
      <c r="M55" s="117">
        <f t="shared" si="38"/>
        <v>902862.03</v>
      </c>
      <c r="N55" s="117">
        <f t="shared" si="38"/>
        <v>1414827.96</v>
      </c>
      <c r="O55" s="117">
        <f t="shared" si="38"/>
        <v>787800.41</v>
      </c>
      <c r="P55" s="117">
        <f t="shared" si="38"/>
        <v>1796761.33</v>
      </c>
      <c r="Q55" s="117">
        <f t="shared" si="38"/>
        <v>1835479.95</v>
      </c>
      <c r="R55" s="117">
        <f t="shared" si="38"/>
        <v>0</v>
      </c>
      <c r="S55" s="117">
        <f t="shared" si="38"/>
        <v>0</v>
      </c>
      <c r="T55" s="117">
        <f t="shared" si="38"/>
        <v>0</v>
      </c>
      <c r="U55" s="117">
        <f t="shared" si="38"/>
        <v>14405308.819999998</v>
      </c>
      <c r="V55" s="142"/>
      <c r="W55" s="64"/>
    </row>
    <row r="56" spans="2:23" hidden="1" x14ac:dyDescent="0.25">
      <c r="B56" t="s">
        <v>180</v>
      </c>
      <c r="C56" s="117">
        <v>15365938</v>
      </c>
      <c r="D56" s="117">
        <v>1280494.8333333333</v>
      </c>
      <c r="E56" s="117" t="s">
        <v>181</v>
      </c>
      <c r="F56" s="117"/>
      <c r="G56" s="117">
        <v>15365938</v>
      </c>
      <c r="H56" s="25">
        <v>987614.31</v>
      </c>
      <c r="I56" s="25">
        <v>749785.94000000006</v>
      </c>
      <c r="J56" s="25">
        <v>742932.91</v>
      </c>
      <c r="K56" s="25">
        <v>987075.66</v>
      </c>
      <c r="L56" s="117">
        <f>+'[1]REVISIÓN MAYO 2025'!$C$39</f>
        <v>4200168.32</v>
      </c>
      <c r="M56" s="117">
        <v>902862.03</v>
      </c>
      <c r="N56" s="117">
        <v>1414827.96</v>
      </c>
      <c r="O56" s="74">
        <v>787800.41</v>
      </c>
      <c r="P56" s="26">
        <v>1796761.33</v>
      </c>
      <c r="Q56" s="73">
        <v>1835479.95</v>
      </c>
      <c r="R56" s="26"/>
      <c r="S56" s="26"/>
      <c r="T56" s="74"/>
      <c r="U56" s="25">
        <f>SUM(H56:T56)</f>
        <v>14405308.819999998</v>
      </c>
      <c r="V56" s="142"/>
    </row>
    <row r="57" spans="2:23" x14ac:dyDescent="0.25">
      <c r="B57" s="16" t="s">
        <v>29</v>
      </c>
      <c r="C57" s="110">
        <f>+C58+C62+C60</f>
        <v>19197060</v>
      </c>
      <c r="D57" s="117">
        <v>1599755</v>
      </c>
      <c r="E57" s="117"/>
      <c r="F57" s="117"/>
      <c r="G57" s="110">
        <f t="shared" ref="G57:O57" si="39">+G58+G62+G60</f>
        <v>20280430</v>
      </c>
      <c r="H57" s="110">
        <f t="shared" si="39"/>
        <v>276648.32000000001</v>
      </c>
      <c r="I57" s="110">
        <f t="shared" si="39"/>
        <v>4863149.92</v>
      </c>
      <c r="J57" s="110">
        <f t="shared" si="39"/>
        <v>0</v>
      </c>
      <c r="K57" s="110">
        <f>+K58+K62+K60</f>
        <v>1621640.76</v>
      </c>
      <c r="L57" s="110">
        <f>+L58+L62+L60</f>
        <v>3304961.18</v>
      </c>
      <c r="M57" s="110">
        <f t="shared" si="39"/>
        <v>2095747.24</v>
      </c>
      <c r="N57" s="110">
        <f t="shared" si="39"/>
        <v>3401983.92</v>
      </c>
      <c r="O57" s="110">
        <f t="shared" si="39"/>
        <v>1601514.06</v>
      </c>
      <c r="P57" s="110">
        <f>+P58+P62+P60</f>
        <v>1286417.4000000001</v>
      </c>
      <c r="Q57" s="110">
        <f>+Q58+Q62+Q60</f>
        <v>2179855.98</v>
      </c>
      <c r="R57" s="110">
        <f t="shared" ref="R57:U57" si="40">+R58+R62+R60</f>
        <v>0</v>
      </c>
      <c r="S57" s="110">
        <f t="shared" si="40"/>
        <v>0</v>
      </c>
      <c r="T57" s="110">
        <f t="shared" si="40"/>
        <v>0</v>
      </c>
      <c r="U57" s="110">
        <f t="shared" si="40"/>
        <v>20631918.780000001</v>
      </c>
      <c r="V57" s="142"/>
      <c r="W57" s="64"/>
    </row>
    <row r="58" spans="2:23" hidden="1" x14ac:dyDescent="0.25">
      <c r="B58" s="16" t="s">
        <v>182</v>
      </c>
      <c r="C58" s="110">
        <f>+C59</f>
        <v>19077000</v>
      </c>
      <c r="D58" s="117"/>
      <c r="E58" s="117"/>
      <c r="F58" s="117"/>
      <c r="G58" s="110">
        <f t="shared" ref="G58:U58" si="41">+G59</f>
        <v>19077000</v>
      </c>
      <c r="H58" s="110">
        <f t="shared" si="41"/>
        <v>0</v>
      </c>
      <c r="I58" s="110">
        <f t="shared" si="41"/>
        <v>4863149.92</v>
      </c>
      <c r="J58" s="110">
        <f t="shared" si="41"/>
        <v>0</v>
      </c>
      <c r="K58" s="110">
        <f t="shared" si="41"/>
        <v>1621640.76</v>
      </c>
      <c r="L58" s="110">
        <f t="shared" si="41"/>
        <v>3289961.18</v>
      </c>
      <c r="M58" s="110">
        <f t="shared" si="41"/>
        <v>2080747.24</v>
      </c>
      <c r="N58" s="110">
        <f t="shared" si="41"/>
        <v>2584768.7200000002</v>
      </c>
      <c r="O58" s="110">
        <f t="shared" si="41"/>
        <v>1601514.06</v>
      </c>
      <c r="P58" s="110">
        <f t="shared" si="41"/>
        <v>1271417.4000000001</v>
      </c>
      <c r="Q58" s="110">
        <f t="shared" si="41"/>
        <v>2171855.98</v>
      </c>
      <c r="R58" s="110">
        <f t="shared" si="41"/>
        <v>0</v>
      </c>
      <c r="S58" s="110">
        <f t="shared" si="41"/>
        <v>0</v>
      </c>
      <c r="T58" s="110">
        <f t="shared" si="41"/>
        <v>0</v>
      </c>
      <c r="U58" s="110">
        <f t="shared" si="41"/>
        <v>19485055.260000002</v>
      </c>
      <c r="V58" s="142"/>
      <c r="W58" s="64"/>
    </row>
    <row r="59" spans="2:23" hidden="1" x14ac:dyDescent="0.25">
      <c r="B59" t="s">
        <v>183</v>
      </c>
      <c r="C59" s="117">
        <v>19077000</v>
      </c>
      <c r="D59" s="117">
        <v>1589750</v>
      </c>
      <c r="E59" s="117"/>
      <c r="F59" s="117"/>
      <c r="G59" s="117">
        <v>19077000</v>
      </c>
      <c r="H59" s="25"/>
      <c r="I59" s="25">
        <v>4863149.92</v>
      </c>
      <c r="J59" s="25"/>
      <c r="K59" s="25">
        <v>1621640.76</v>
      </c>
      <c r="L59" s="117">
        <f>+'[1]REVISIÓN MAYO 2025'!$C$46</f>
        <v>3289961.18</v>
      </c>
      <c r="M59" s="117">
        <v>2080747.24</v>
      </c>
      <c r="N59" s="117">
        <v>2584768.7200000002</v>
      </c>
      <c r="O59" s="74">
        <v>1601514.06</v>
      </c>
      <c r="P59" s="26">
        <v>1271417.4000000001</v>
      </c>
      <c r="Q59" s="73">
        <v>2171855.98</v>
      </c>
      <c r="R59" s="26"/>
      <c r="S59" s="26"/>
      <c r="T59" s="74"/>
      <c r="U59" s="25">
        <f>SUM(H59:T59)</f>
        <v>19485055.260000002</v>
      </c>
      <c r="V59" s="142"/>
    </row>
    <row r="60" spans="2:23" hidden="1" x14ac:dyDescent="0.25">
      <c r="B60" s="16" t="s">
        <v>184</v>
      </c>
      <c r="C60" s="117">
        <f>+C61</f>
        <v>0</v>
      </c>
      <c r="D60" s="117"/>
      <c r="E60" s="117"/>
      <c r="F60" s="117"/>
      <c r="G60" s="117">
        <f>+G61</f>
        <v>1083370</v>
      </c>
      <c r="H60" s="117">
        <f t="shared" ref="H60:U60" si="42">+H61</f>
        <v>276648.32000000001</v>
      </c>
      <c r="I60" s="117">
        <f t="shared" si="42"/>
        <v>0</v>
      </c>
      <c r="J60" s="117">
        <f t="shared" si="42"/>
        <v>0</v>
      </c>
      <c r="K60" s="117">
        <f t="shared" si="42"/>
        <v>0</v>
      </c>
      <c r="L60" s="117">
        <f t="shared" si="42"/>
        <v>0</v>
      </c>
      <c r="M60" s="117">
        <f t="shared" si="42"/>
        <v>0</v>
      </c>
      <c r="N60" s="117">
        <f t="shared" si="42"/>
        <v>806715.2</v>
      </c>
      <c r="O60" s="117">
        <f t="shared" si="42"/>
        <v>0</v>
      </c>
      <c r="P60" s="117">
        <f t="shared" si="42"/>
        <v>0</v>
      </c>
      <c r="Q60" s="117">
        <f t="shared" si="42"/>
        <v>0</v>
      </c>
      <c r="R60" s="117">
        <f t="shared" si="42"/>
        <v>0</v>
      </c>
      <c r="S60" s="117">
        <f t="shared" si="42"/>
        <v>0</v>
      </c>
      <c r="T60" s="117">
        <f t="shared" si="42"/>
        <v>0</v>
      </c>
      <c r="U60" s="117">
        <f t="shared" si="42"/>
        <v>1083363.52</v>
      </c>
      <c r="V60" s="142"/>
    </row>
    <row r="61" spans="2:23" hidden="1" x14ac:dyDescent="0.25">
      <c r="B61" t="s">
        <v>185</v>
      </c>
      <c r="C61" s="117">
        <v>0</v>
      </c>
      <c r="D61" s="117">
        <v>0</v>
      </c>
      <c r="E61" s="117" t="s">
        <v>186</v>
      </c>
      <c r="F61" s="117">
        <v>1083370</v>
      </c>
      <c r="G61" s="117">
        <f>+C61+F61</f>
        <v>1083370</v>
      </c>
      <c r="H61" s="25">
        <v>276648.32000000001</v>
      </c>
      <c r="I61" s="139"/>
      <c r="J61" s="117"/>
      <c r="K61" s="117"/>
      <c r="L61" s="117"/>
      <c r="M61" s="117"/>
      <c r="N61" s="74">
        <v>806715.2</v>
      </c>
      <c r="O61" s="74"/>
      <c r="P61" s="26"/>
      <c r="Q61" s="89"/>
      <c r="R61" s="26"/>
      <c r="S61" s="26"/>
      <c r="T61" s="74"/>
      <c r="U61" s="25">
        <f>SUM(H61:T61)</f>
        <v>1083363.52</v>
      </c>
      <c r="V61" s="142"/>
    </row>
    <row r="62" spans="2:23" hidden="1" x14ac:dyDescent="0.25">
      <c r="B62" s="16" t="s">
        <v>187</v>
      </c>
      <c r="C62" s="117">
        <f>+C63</f>
        <v>120060</v>
      </c>
      <c r="D62" s="117"/>
      <c r="E62" s="117"/>
      <c r="F62" s="117"/>
      <c r="G62" s="117">
        <f t="shared" ref="G62:U62" si="43">+G63</f>
        <v>120060</v>
      </c>
      <c r="H62" s="117">
        <f t="shared" si="43"/>
        <v>0</v>
      </c>
      <c r="I62" s="117">
        <f t="shared" si="43"/>
        <v>0</v>
      </c>
      <c r="J62" s="117">
        <f t="shared" si="43"/>
        <v>0</v>
      </c>
      <c r="K62" s="117">
        <f t="shared" si="43"/>
        <v>0</v>
      </c>
      <c r="L62" s="117">
        <f t="shared" si="43"/>
        <v>15000</v>
      </c>
      <c r="M62" s="117">
        <f t="shared" si="43"/>
        <v>15000</v>
      </c>
      <c r="N62" s="117">
        <f t="shared" si="43"/>
        <v>10500</v>
      </c>
      <c r="O62" s="117">
        <f t="shared" si="43"/>
        <v>0</v>
      </c>
      <c r="P62" s="117">
        <f t="shared" si="43"/>
        <v>15000</v>
      </c>
      <c r="Q62" s="117">
        <f t="shared" si="43"/>
        <v>8000</v>
      </c>
      <c r="R62" s="117">
        <f t="shared" si="43"/>
        <v>0</v>
      </c>
      <c r="S62" s="117">
        <f t="shared" si="43"/>
        <v>0</v>
      </c>
      <c r="T62" s="117">
        <f t="shared" si="43"/>
        <v>0</v>
      </c>
      <c r="U62" s="117">
        <f t="shared" si="43"/>
        <v>63500</v>
      </c>
      <c r="V62" s="142"/>
    </row>
    <row r="63" spans="2:23" hidden="1" x14ac:dyDescent="0.25">
      <c r="B63" t="s">
        <v>188</v>
      </c>
      <c r="C63" s="117">
        <v>120060</v>
      </c>
      <c r="D63" s="117">
        <v>10005</v>
      </c>
      <c r="E63" s="117"/>
      <c r="F63" s="117"/>
      <c r="G63" s="117">
        <v>120060</v>
      </c>
      <c r="H63" s="25"/>
      <c r="I63" s="117"/>
      <c r="J63" s="117"/>
      <c r="K63" s="117"/>
      <c r="L63" s="117">
        <f>+'[1]REVISIÓN MAYO 2025'!$C$48</f>
        <v>15000</v>
      </c>
      <c r="M63" s="117">
        <v>15000</v>
      </c>
      <c r="N63" s="117">
        <v>10500</v>
      </c>
      <c r="O63" s="117"/>
      <c r="P63" s="26">
        <v>15000</v>
      </c>
      <c r="Q63" s="73">
        <v>8000</v>
      </c>
      <c r="R63" s="26"/>
      <c r="S63" s="26"/>
      <c r="T63" s="117"/>
      <c r="U63" s="25">
        <f>SUM(H63:T63)</f>
        <v>63500</v>
      </c>
      <c r="V63" s="142"/>
    </row>
    <row r="64" spans="2:23" x14ac:dyDescent="0.25">
      <c r="B64" s="16" t="s">
        <v>30</v>
      </c>
      <c r="C64" s="110">
        <f>+C65+C67+C69+C71+C73+C75</f>
        <v>45161660</v>
      </c>
      <c r="D64" s="117">
        <v>3763471.666666667</v>
      </c>
      <c r="E64" s="117"/>
      <c r="F64" s="117"/>
      <c r="G64" s="110">
        <f>+G65+G67+G69+G71+G73+G75</f>
        <v>45161660</v>
      </c>
      <c r="H64" s="110">
        <f t="shared" ref="H64:K64" si="44">+H65+H67+H69+H71+H73+H75</f>
        <v>3187845.09</v>
      </c>
      <c r="I64" s="110">
        <f t="shared" si="44"/>
        <v>115482.73999999999</v>
      </c>
      <c r="J64" s="110">
        <f t="shared" si="44"/>
        <v>5276130.54</v>
      </c>
      <c r="K64" s="110">
        <f t="shared" si="44"/>
        <v>1183843.08</v>
      </c>
      <c r="L64" s="110">
        <f>+L65+L67+L69+L71+L73+L75</f>
        <v>532589.73</v>
      </c>
      <c r="M64" s="110">
        <f>+M65+M67+M69+M71+M73+M75</f>
        <v>1783669.85</v>
      </c>
      <c r="N64" s="110">
        <f t="shared" ref="N64" si="45">+N65+N67+N69+N71+N73+N75</f>
        <v>2324552.86</v>
      </c>
      <c r="O64" s="110">
        <f>+O65+O67+O69+O71+O73+O75</f>
        <v>3015576.25</v>
      </c>
      <c r="P64" s="110">
        <f>+P65+P67+P69+P71+P73+P75</f>
        <v>12438984.25</v>
      </c>
      <c r="Q64" s="110">
        <f>+Q65+Q67+Q69+Q71+Q73+Q75</f>
        <v>1408159.88</v>
      </c>
      <c r="R64" s="117">
        <f t="shared" ref="R64:U64" si="46">SUM(R66:R76)</f>
        <v>0</v>
      </c>
      <c r="S64" s="117">
        <f t="shared" si="46"/>
        <v>0</v>
      </c>
      <c r="T64" s="117">
        <f t="shared" si="46"/>
        <v>0</v>
      </c>
      <c r="U64" s="117">
        <f t="shared" si="46"/>
        <v>46846431.120000005</v>
      </c>
      <c r="V64" s="142"/>
      <c r="W64" s="64"/>
    </row>
    <row r="65" spans="2:23" hidden="1" x14ac:dyDescent="0.25">
      <c r="B65" s="16" t="s">
        <v>189</v>
      </c>
      <c r="C65" s="110">
        <f>+C66</f>
        <v>6000000</v>
      </c>
      <c r="D65" s="117"/>
      <c r="E65" s="117"/>
      <c r="F65" s="117"/>
      <c r="G65" s="110">
        <f>+G66</f>
        <v>6000000</v>
      </c>
      <c r="H65" s="110">
        <f>+H66</f>
        <v>2718217.32</v>
      </c>
      <c r="I65" s="110">
        <f t="shared" ref="I65:U65" si="47">+I66</f>
        <v>0</v>
      </c>
      <c r="J65" s="110">
        <f t="shared" si="47"/>
        <v>0</v>
      </c>
      <c r="K65" s="110">
        <f>+K66</f>
        <v>1150376.1000000001</v>
      </c>
      <c r="L65" s="110">
        <f>+L66</f>
        <v>0</v>
      </c>
      <c r="M65" s="110">
        <f t="shared" si="47"/>
        <v>0</v>
      </c>
      <c r="N65" s="110">
        <f t="shared" si="47"/>
        <v>1102975.5</v>
      </c>
      <c r="O65" s="110">
        <f t="shared" si="47"/>
        <v>0</v>
      </c>
      <c r="P65" s="110">
        <f t="shared" si="47"/>
        <v>9558000</v>
      </c>
      <c r="Q65" s="110">
        <f t="shared" si="47"/>
        <v>1157668.5</v>
      </c>
      <c r="R65" s="110">
        <f t="shared" si="47"/>
        <v>0</v>
      </c>
      <c r="S65" s="110">
        <f t="shared" si="47"/>
        <v>0</v>
      </c>
      <c r="T65" s="110">
        <f t="shared" si="47"/>
        <v>0</v>
      </c>
      <c r="U65" s="110">
        <f t="shared" si="47"/>
        <v>15687237.42</v>
      </c>
      <c r="V65" s="142"/>
      <c r="W65" s="64"/>
    </row>
    <row r="66" spans="2:23" hidden="1" x14ac:dyDescent="0.25">
      <c r="B66" t="s">
        <v>190</v>
      </c>
      <c r="C66" s="117">
        <v>6000000</v>
      </c>
      <c r="D66" s="117">
        <v>500000</v>
      </c>
      <c r="E66" s="117" t="s">
        <v>191</v>
      </c>
      <c r="F66" s="117"/>
      <c r="G66" s="117">
        <v>6000000</v>
      </c>
      <c r="H66" s="25">
        <v>2718217.32</v>
      </c>
      <c r="I66" s="117"/>
      <c r="J66" s="117"/>
      <c r="K66" s="25">
        <v>1150376.1000000001</v>
      </c>
      <c r="L66" s="117"/>
      <c r="M66" s="117"/>
      <c r="N66" s="74">
        <v>1102975.5</v>
      </c>
      <c r="O66" s="74"/>
      <c r="P66" s="26">
        <v>9558000</v>
      </c>
      <c r="Q66" s="73">
        <v>1157668.5</v>
      </c>
      <c r="R66" s="26"/>
      <c r="S66" s="26"/>
      <c r="T66" s="74"/>
      <c r="U66" s="25">
        <f>SUM(H66:T66)</f>
        <v>15687237.42</v>
      </c>
      <c r="V66" s="142"/>
      <c r="W66" s="64"/>
    </row>
    <row r="67" spans="2:23" hidden="1" x14ac:dyDescent="0.25">
      <c r="B67" s="16" t="s">
        <v>192</v>
      </c>
      <c r="C67" s="117">
        <f>+C68</f>
        <v>1900000</v>
      </c>
      <c r="D67" s="117"/>
      <c r="E67" s="117"/>
      <c r="F67" s="117"/>
      <c r="G67" s="117">
        <f>+G68</f>
        <v>1900000</v>
      </c>
      <c r="H67" s="117">
        <f t="shared" ref="H67:U67" si="48">+H68</f>
        <v>6737.21</v>
      </c>
      <c r="I67" s="117">
        <f t="shared" si="48"/>
        <v>6286.74</v>
      </c>
      <c r="J67" s="117">
        <f t="shared" si="48"/>
        <v>50015.76</v>
      </c>
      <c r="K67" s="117">
        <f t="shared" si="48"/>
        <v>15492.98</v>
      </c>
      <c r="L67" s="117">
        <f t="shared" si="48"/>
        <v>14447.73</v>
      </c>
      <c r="M67" s="117">
        <f t="shared" si="48"/>
        <v>9560.67</v>
      </c>
      <c r="N67" s="117">
        <f t="shared" si="48"/>
        <v>4116.79</v>
      </c>
      <c r="O67" s="117">
        <f t="shared" si="48"/>
        <v>20158.400000000001</v>
      </c>
      <c r="P67" s="117">
        <f t="shared" si="48"/>
        <v>5901.9800000000005</v>
      </c>
      <c r="Q67" s="117">
        <f t="shared" si="48"/>
        <v>7868.38</v>
      </c>
      <c r="R67" s="117">
        <f t="shared" si="48"/>
        <v>0</v>
      </c>
      <c r="S67" s="117">
        <f t="shared" si="48"/>
        <v>0</v>
      </c>
      <c r="T67" s="117">
        <f t="shared" si="48"/>
        <v>0</v>
      </c>
      <c r="U67" s="117">
        <f t="shared" si="48"/>
        <v>140586.64000000001</v>
      </c>
      <c r="V67" s="142"/>
      <c r="W67" s="64"/>
    </row>
    <row r="68" spans="2:23" hidden="1" x14ac:dyDescent="0.25">
      <c r="B68" t="s">
        <v>193</v>
      </c>
      <c r="C68" s="117">
        <v>1900000</v>
      </c>
      <c r="D68" s="117">
        <v>158333.33333333334</v>
      </c>
      <c r="E68" s="117" t="s">
        <v>194</v>
      </c>
      <c r="F68" s="117"/>
      <c r="G68" s="117">
        <v>1900000</v>
      </c>
      <c r="H68" s="25">
        <v>6737.21</v>
      </c>
      <c r="I68" s="25">
        <v>6286.74</v>
      </c>
      <c r="J68" s="25">
        <v>50015.76</v>
      </c>
      <c r="K68" s="25">
        <v>15492.98</v>
      </c>
      <c r="L68" s="117">
        <f>+'[1]REVISIÓN MAYO 2025'!$C$52</f>
        <v>14447.73</v>
      </c>
      <c r="M68" s="117">
        <v>9560.67</v>
      </c>
      <c r="N68" s="117">
        <v>4116.79</v>
      </c>
      <c r="O68" s="74">
        <v>20158.400000000001</v>
      </c>
      <c r="P68" s="26">
        <v>5901.9800000000005</v>
      </c>
      <c r="Q68" s="73">
        <v>7868.38</v>
      </c>
      <c r="R68" s="26"/>
      <c r="S68" s="26"/>
      <c r="T68" s="74"/>
      <c r="U68" s="25">
        <f>SUM(H68:T68)</f>
        <v>140586.64000000001</v>
      </c>
      <c r="V68" s="142"/>
      <c r="W68" s="64"/>
    </row>
    <row r="69" spans="2:23" hidden="1" x14ac:dyDescent="0.25">
      <c r="B69" s="16" t="s">
        <v>195</v>
      </c>
      <c r="C69" s="117">
        <f>+C70</f>
        <v>2666060</v>
      </c>
      <c r="D69" s="117"/>
      <c r="E69" s="117"/>
      <c r="F69" s="117"/>
      <c r="G69" s="117">
        <f>+G70</f>
        <v>2666060</v>
      </c>
      <c r="H69" s="117">
        <f t="shared" ref="H69:U69" si="49">+H70</f>
        <v>368500</v>
      </c>
      <c r="I69" s="117">
        <f t="shared" si="49"/>
        <v>40200</v>
      </c>
      <c r="J69" s="117">
        <f t="shared" si="49"/>
        <v>14620</v>
      </c>
      <c r="K69" s="117">
        <f t="shared" si="49"/>
        <v>17974</v>
      </c>
      <c r="L69" s="117">
        <f t="shared" si="49"/>
        <v>0</v>
      </c>
      <c r="M69" s="117">
        <f t="shared" si="49"/>
        <v>19500</v>
      </c>
      <c r="N69" s="117">
        <f t="shared" si="49"/>
        <v>26100</v>
      </c>
      <c r="O69" s="117">
        <f t="shared" si="49"/>
        <v>606211.73</v>
      </c>
      <c r="P69" s="117">
        <f t="shared" si="49"/>
        <v>0</v>
      </c>
      <c r="Q69" s="117">
        <f t="shared" si="49"/>
        <v>38660</v>
      </c>
      <c r="R69" s="117">
        <f t="shared" si="49"/>
        <v>0</v>
      </c>
      <c r="S69" s="117">
        <f t="shared" si="49"/>
        <v>0</v>
      </c>
      <c r="T69" s="117">
        <f t="shared" si="49"/>
        <v>0</v>
      </c>
      <c r="U69" s="117">
        <f t="shared" si="49"/>
        <v>1131765.73</v>
      </c>
      <c r="V69" s="142"/>
      <c r="W69" s="64"/>
    </row>
    <row r="70" spans="2:23" hidden="1" x14ac:dyDescent="0.25">
      <c r="B70" t="s">
        <v>196</v>
      </c>
      <c r="C70" s="117">
        <v>2666060</v>
      </c>
      <c r="D70" s="117">
        <v>222171.66666666666</v>
      </c>
      <c r="E70" s="117" t="s">
        <v>197</v>
      </c>
      <c r="F70" s="117"/>
      <c r="G70" s="117">
        <v>2666060</v>
      </c>
      <c r="H70" s="25">
        <v>368500</v>
      </c>
      <c r="I70" s="25">
        <v>40200</v>
      </c>
      <c r="J70" s="25">
        <v>14620</v>
      </c>
      <c r="K70" s="25">
        <v>17974</v>
      </c>
      <c r="L70" s="117">
        <f>+'[1]REVISIÓN MAYO 2025'!$C$53</f>
        <v>0</v>
      </c>
      <c r="M70" s="117">
        <v>19500</v>
      </c>
      <c r="N70" s="117">
        <v>26100</v>
      </c>
      <c r="O70" s="74">
        <v>606211.73</v>
      </c>
      <c r="P70" s="26"/>
      <c r="Q70" s="73">
        <v>38660</v>
      </c>
      <c r="R70" s="26"/>
      <c r="S70" s="26"/>
      <c r="T70" s="74"/>
      <c r="U70" s="25">
        <f>SUM(H70:T70)</f>
        <v>1131765.73</v>
      </c>
      <c r="V70" s="142"/>
      <c r="W70" s="52"/>
    </row>
    <row r="71" spans="2:23" hidden="1" x14ac:dyDescent="0.25">
      <c r="B71" s="16" t="s">
        <v>198</v>
      </c>
      <c r="C71" s="117">
        <f>+C72</f>
        <v>495600</v>
      </c>
      <c r="D71" s="117"/>
      <c r="E71" s="117"/>
      <c r="F71" s="117"/>
      <c r="G71" s="117">
        <f t="shared" ref="G71:U71" si="50">+G72</f>
        <v>495600</v>
      </c>
      <c r="H71" s="117">
        <f t="shared" si="50"/>
        <v>0</v>
      </c>
      <c r="I71" s="117">
        <f t="shared" si="50"/>
        <v>0</v>
      </c>
      <c r="J71" s="117">
        <f t="shared" si="50"/>
        <v>123900</v>
      </c>
      <c r="K71" s="117">
        <f t="shared" si="50"/>
        <v>0</v>
      </c>
      <c r="L71" s="117">
        <f t="shared" si="50"/>
        <v>359392</v>
      </c>
      <c r="M71" s="117">
        <f t="shared" si="50"/>
        <v>0</v>
      </c>
      <c r="N71" s="117">
        <f t="shared" si="50"/>
        <v>123900</v>
      </c>
      <c r="O71" s="117">
        <f t="shared" si="50"/>
        <v>2379986.52</v>
      </c>
      <c r="P71" s="117">
        <f t="shared" si="50"/>
        <v>0</v>
      </c>
      <c r="Q71" s="117">
        <f t="shared" si="50"/>
        <v>123900</v>
      </c>
      <c r="R71" s="117">
        <f t="shared" si="50"/>
        <v>0</v>
      </c>
      <c r="S71" s="117">
        <f t="shared" si="50"/>
        <v>0</v>
      </c>
      <c r="T71" s="117">
        <f t="shared" si="50"/>
        <v>0</v>
      </c>
      <c r="U71" s="117">
        <f t="shared" si="50"/>
        <v>3111078.52</v>
      </c>
      <c r="V71" s="142"/>
      <c r="W71" s="52"/>
    </row>
    <row r="72" spans="2:23" hidden="1" x14ac:dyDescent="0.25">
      <c r="B72" t="s">
        <v>199</v>
      </c>
      <c r="C72" s="117">
        <v>495600</v>
      </c>
      <c r="D72" s="117">
        <v>41300</v>
      </c>
      <c r="E72" s="117"/>
      <c r="F72" s="117"/>
      <c r="G72" s="117">
        <v>495600</v>
      </c>
      <c r="H72" s="117"/>
      <c r="I72" s="117"/>
      <c r="J72" s="25">
        <v>123900</v>
      </c>
      <c r="K72" s="117"/>
      <c r="L72" s="117">
        <f>+'[1]REVISIÓN MAYO 2025'!$C$54</f>
        <v>359392</v>
      </c>
      <c r="M72" s="117"/>
      <c r="N72" s="117">
        <v>123900</v>
      </c>
      <c r="O72" s="74">
        <v>2379986.52</v>
      </c>
      <c r="P72" s="117"/>
      <c r="Q72" s="79">
        <v>123900</v>
      </c>
      <c r="R72" s="117"/>
      <c r="S72" s="117"/>
      <c r="T72" s="74"/>
      <c r="U72" s="25">
        <f>SUM(H72:T72)</f>
        <v>3111078.52</v>
      </c>
      <c r="V72" s="142"/>
    </row>
    <row r="73" spans="2:23" hidden="1" x14ac:dyDescent="0.25">
      <c r="B73" s="16" t="s">
        <v>200</v>
      </c>
      <c r="C73" s="117">
        <f>+C74</f>
        <v>11100000</v>
      </c>
      <c r="D73" s="117"/>
      <c r="E73" s="117"/>
      <c r="F73" s="117"/>
      <c r="G73" s="117">
        <f t="shared" ref="G73:U73" si="51">+G74</f>
        <v>11100000</v>
      </c>
      <c r="H73" s="117">
        <f t="shared" si="51"/>
        <v>0</v>
      </c>
      <c r="I73" s="117">
        <f t="shared" si="51"/>
        <v>0</v>
      </c>
      <c r="J73" s="117">
        <f t="shared" si="51"/>
        <v>0</v>
      </c>
      <c r="K73" s="117">
        <f t="shared" si="51"/>
        <v>0</v>
      </c>
      <c r="L73" s="117">
        <f t="shared" si="51"/>
        <v>123900</v>
      </c>
      <c r="M73" s="117">
        <f t="shared" si="51"/>
        <v>238147.6</v>
      </c>
      <c r="N73" s="117">
        <f t="shared" si="51"/>
        <v>348690</v>
      </c>
      <c r="O73" s="117">
        <f t="shared" si="51"/>
        <v>0</v>
      </c>
      <c r="P73" s="117">
        <f t="shared" si="51"/>
        <v>0</v>
      </c>
      <c r="Q73" s="117">
        <f t="shared" si="51"/>
        <v>80063</v>
      </c>
      <c r="R73" s="117">
        <f t="shared" si="51"/>
        <v>0</v>
      </c>
      <c r="S73" s="117">
        <f t="shared" si="51"/>
        <v>0</v>
      </c>
      <c r="T73" s="117">
        <f t="shared" si="51"/>
        <v>0</v>
      </c>
      <c r="U73" s="117">
        <f t="shared" si="51"/>
        <v>790800.6</v>
      </c>
      <c r="V73" s="142"/>
    </row>
    <row r="74" spans="2:23" hidden="1" x14ac:dyDescent="0.25">
      <c r="B74" t="s">
        <v>201</v>
      </c>
      <c r="C74" s="117">
        <v>11100000</v>
      </c>
      <c r="D74" s="117">
        <v>925000</v>
      </c>
      <c r="E74" s="117"/>
      <c r="F74" s="117"/>
      <c r="G74" s="117">
        <v>11100000</v>
      </c>
      <c r="H74" s="117"/>
      <c r="I74" s="25"/>
      <c r="J74" s="25"/>
      <c r="K74" s="117"/>
      <c r="L74" s="117">
        <f>+'[1]REVISIÓN MAYO 2025'!$C$55</f>
        <v>123900</v>
      </c>
      <c r="M74" s="117">
        <v>238147.6</v>
      </c>
      <c r="N74" s="117">
        <v>348690</v>
      </c>
      <c r="O74" s="117"/>
      <c r="P74" s="26"/>
      <c r="Q74" s="73">
        <v>80063</v>
      </c>
      <c r="R74" s="26"/>
      <c r="S74" s="26"/>
      <c r="T74" s="117"/>
      <c r="U74" s="25">
        <f>SUM(H74:T74)</f>
        <v>790800.6</v>
      </c>
      <c r="V74" s="142"/>
    </row>
    <row r="75" spans="2:23" hidden="1" x14ac:dyDescent="0.25">
      <c r="B75" s="16" t="s">
        <v>202</v>
      </c>
      <c r="C75" s="117">
        <f>+C76</f>
        <v>23000000</v>
      </c>
      <c r="D75" s="117"/>
      <c r="E75" s="117"/>
      <c r="F75" s="117"/>
      <c r="G75" s="117">
        <f t="shared" ref="G75:U75" si="52">+G76</f>
        <v>23000000</v>
      </c>
      <c r="H75" s="117">
        <f t="shared" si="52"/>
        <v>94390.56</v>
      </c>
      <c r="I75" s="117">
        <f t="shared" si="52"/>
        <v>68996</v>
      </c>
      <c r="J75" s="117">
        <f t="shared" si="52"/>
        <v>5087594.78</v>
      </c>
      <c r="K75" s="117">
        <f t="shared" si="52"/>
        <v>0</v>
      </c>
      <c r="L75" s="117">
        <f t="shared" si="52"/>
        <v>34850</v>
      </c>
      <c r="M75" s="117">
        <f t="shared" si="52"/>
        <v>1516461.58</v>
      </c>
      <c r="N75" s="117">
        <f t="shared" si="52"/>
        <v>718770.57</v>
      </c>
      <c r="O75" s="117">
        <f t="shared" si="52"/>
        <v>9219.6</v>
      </c>
      <c r="P75" s="117">
        <f t="shared" si="52"/>
        <v>2875082.27</v>
      </c>
      <c r="Q75" s="117">
        <f t="shared" si="52"/>
        <v>0</v>
      </c>
      <c r="R75" s="117">
        <f t="shared" si="52"/>
        <v>0</v>
      </c>
      <c r="S75" s="117">
        <f t="shared" si="52"/>
        <v>0</v>
      </c>
      <c r="T75" s="117">
        <f t="shared" si="52"/>
        <v>0</v>
      </c>
      <c r="U75" s="117">
        <f t="shared" si="52"/>
        <v>10405365.359999999</v>
      </c>
      <c r="V75" s="142"/>
    </row>
    <row r="76" spans="2:23" hidden="1" x14ac:dyDescent="0.25">
      <c r="B76" s="90" t="s">
        <v>203</v>
      </c>
      <c r="C76" s="117">
        <v>23000000</v>
      </c>
      <c r="D76" s="117">
        <v>1916666.6666666667</v>
      </c>
      <c r="E76" s="117" t="s">
        <v>204</v>
      </c>
      <c r="F76" s="117"/>
      <c r="G76" s="117">
        <v>23000000</v>
      </c>
      <c r="H76" s="25">
        <v>94390.56</v>
      </c>
      <c r="I76" s="25">
        <v>68996</v>
      </c>
      <c r="J76" s="25">
        <v>5087594.78</v>
      </c>
      <c r="K76" s="117"/>
      <c r="L76" s="117">
        <f>+'[1]REVISIÓN MAYO 2025'!$C$56</f>
        <v>34850</v>
      </c>
      <c r="M76" s="117">
        <v>1516461.58</v>
      </c>
      <c r="N76" s="117">
        <v>718770.57</v>
      </c>
      <c r="O76" s="74">
        <v>9219.6</v>
      </c>
      <c r="P76" s="26">
        <v>2875082.27</v>
      </c>
      <c r="Q76" s="26"/>
      <c r="R76" s="26"/>
      <c r="S76" s="26"/>
      <c r="T76" s="74"/>
      <c r="U76" s="25">
        <f>SUM(H76:T76)</f>
        <v>10405365.359999999</v>
      </c>
      <c r="V76" s="142"/>
    </row>
    <row r="77" spans="2:23" x14ac:dyDescent="0.25">
      <c r="B77" s="90" t="s">
        <v>31</v>
      </c>
      <c r="C77" s="143">
        <f>+C78+C80</f>
        <v>333125468</v>
      </c>
      <c r="D77" s="117">
        <v>27760455.666666664</v>
      </c>
      <c r="E77" s="117"/>
      <c r="F77" s="143">
        <f>SUM(F79:F81)</f>
        <v>0</v>
      </c>
      <c r="G77" s="143">
        <f>+C77+F77</f>
        <v>333125468</v>
      </c>
      <c r="H77" s="143">
        <f t="shared" ref="H77:P77" si="53">+H78+H80</f>
        <v>32297201.830000002</v>
      </c>
      <c r="I77" s="143">
        <f t="shared" si="53"/>
        <v>189335.35000000009</v>
      </c>
      <c r="J77" s="143">
        <f t="shared" si="53"/>
        <v>35956785.200000003</v>
      </c>
      <c r="K77" s="143">
        <f t="shared" si="53"/>
        <v>12614855.82</v>
      </c>
      <c r="L77" s="143">
        <f>+L78+L80</f>
        <v>18658830.439999998</v>
      </c>
      <c r="M77" s="143">
        <f t="shared" si="53"/>
        <v>13686846.699999999</v>
      </c>
      <c r="N77" s="143">
        <f t="shared" si="53"/>
        <v>14214576.560000001</v>
      </c>
      <c r="O77" s="143">
        <f t="shared" si="53"/>
        <v>22094554.370000001</v>
      </c>
      <c r="P77" s="143">
        <f t="shared" si="53"/>
        <v>16068291.950000001</v>
      </c>
      <c r="Q77" s="143">
        <f>+Q78+Q80</f>
        <v>26058885.77</v>
      </c>
      <c r="R77" s="143">
        <f t="shared" ref="R77:U77" si="54">+R78+R80</f>
        <v>0</v>
      </c>
      <c r="S77" s="143">
        <f t="shared" si="54"/>
        <v>0</v>
      </c>
      <c r="T77" s="143">
        <f t="shared" si="54"/>
        <v>0</v>
      </c>
      <c r="U77" s="143">
        <f t="shared" si="54"/>
        <v>191840163.99000001</v>
      </c>
      <c r="V77" s="142"/>
    </row>
    <row r="78" spans="2:23" hidden="1" x14ac:dyDescent="0.25">
      <c r="B78" s="90" t="s">
        <v>205</v>
      </c>
      <c r="C78" s="143">
        <f>+C79</f>
        <v>10728058</v>
      </c>
      <c r="D78" s="117"/>
      <c r="E78" s="117"/>
      <c r="F78" s="143"/>
      <c r="G78" s="143">
        <f t="shared" ref="G78:U78" si="55">+G79</f>
        <v>10728058</v>
      </c>
      <c r="H78" s="143">
        <f t="shared" si="55"/>
        <v>0</v>
      </c>
      <c r="I78" s="143">
        <f t="shared" si="55"/>
        <v>1483058.4000000001</v>
      </c>
      <c r="J78" s="143">
        <f t="shared" si="55"/>
        <v>0</v>
      </c>
      <c r="K78" s="143">
        <f t="shared" si="55"/>
        <v>0</v>
      </c>
      <c r="L78" s="143">
        <f t="shared" si="55"/>
        <v>4970500</v>
      </c>
      <c r="M78" s="143">
        <f t="shared" si="55"/>
        <v>0</v>
      </c>
      <c r="N78" s="143">
        <f t="shared" si="55"/>
        <v>0</v>
      </c>
      <c r="O78" s="143">
        <f t="shared" si="55"/>
        <v>114446.18000000001</v>
      </c>
      <c r="P78" s="143">
        <f t="shared" si="55"/>
        <v>-45000</v>
      </c>
      <c r="Q78" s="143">
        <f t="shared" si="55"/>
        <v>4905893.1100000003</v>
      </c>
      <c r="R78" s="143">
        <f t="shared" si="55"/>
        <v>0</v>
      </c>
      <c r="S78" s="143">
        <f t="shared" si="55"/>
        <v>0</v>
      </c>
      <c r="T78" s="143">
        <f t="shared" si="55"/>
        <v>0</v>
      </c>
      <c r="U78" s="143">
        <f t="shared" si="55"/>
        <v>11428897.690000001</v>
      </c>
      <c r="V78" s="142"/>
    </row>
    <row r="79" spans="2:23" hidden="1" x14ac:dyDescent="0.25">
      <c r="B79" s="90" t="s">
        <v>206</v>
      </c>
      <c r="C79" s="117">
        <v>10728058</v>
      </c>
      <c r="D79" s="117">
        <v>894004.83333333337</v>
      </c>
      <c r="E79" s="117"/>
      <c r="F79" s="117"/>
      <c r="G79" s="117">
        <v>10728058</v>
      </c>
      <c r="H79" s="117"/>
      <c r="I79" s="25">
        <v>1483058.4000000001</v>
      </c>
      <c r="J79" s="25"/>
      <c r="K79" s="117"/>
      <c r="L79" s="117">
        <f>+'[1]REVISIÓN MAYO 2025'!$C$59</f>
        <v>4970500</v>
      </c>
      <c r="M79" s="117"/>
      <c r="N79" s="117"/>
      <c r="O79" s="74">
        <v>114446.18000000001</v>
      </c>
      <c r="P79" s="26">
        <v>-45000</v>
      </c>
      <c r="Q79" s="93">
        <v>4905893.1100000003</v>
      </c>
      <c r="R79" s="26"/>
      <c r="S79" s="26"/>
      <c r="T79" s="74"/>
      <c r="U79" s="25">
        <f>SUM(H79:T79)</f>
        <v>11428897.690000001</v>
      </c>
      <c r="V79" s="142"/>
      <c r="W79" s="64"/>
    </row>
    <row r="80" spans="2:23" hidden="1" x14ac:dyDescent="0.25">
      <c r="B80" s="90" t="s">
        <v>207</v>
      </c>
      <c r="C80" s="117">
        <f>+C81</f>
        <v>322397410</v>
      </c>
      <c r="D80" s="117"/>
      <c r="E80" s="117"/>
      <c r="F80" s="117"/>
      <c r="G80" s="117">
        <f t="shared" ref="G80:U80" si="56">+G81</f>
        <v>322397410</v>
      </c>
      <c r="H80" s="117">
        <f t="shared" si="56"/>
        <v>32297201.830000002</v>
      </c>
      <c r="I80" s="117">
        <f t="shared" si="56"/>
        <v>-1293723.05</v>
      </c>
      <c r="J80" s="117">
        <f t="shared" si="56"/>
        <v>35956785.200000003</v>
      </c>
      <c r="K80" s="117">
        <f t="shared" si="56"/>
        <v>12614855.82</v>
      </c>
      <c r="L80" s="117">
        <f>+L81</f>
        <v>13688330.439999999</v>
      </c>
      <c r="M80" s="117">
        <f t="shared" si="56"/>
        <v>13686846.699999999</v>
      </c>
      <c r="N80" s="117">
        <f t="shared" si="56"/>
        <v>14214576.560000001</v>
      </c>
      <c r="O80" s="117">
        <f>+O81</f>
        <v>21980108.190000001</v>
      </c>
      <c r="P80" s="117">
        <f t="shared" si="56"/>
        <v>16113291.950000001</v>
      </c>
      <c r="Q80" s="117">
        <f t="shared" si="56"/>
        <v>21152992.66</v>
      </c>
      <c r="R80" s="117">
        <f t="shared" si="56"/>
        <v>0</v>
      </c>
      <c r="S80" s="117">
        <f t="shared" si="56"/>
        <v>0</v>
      </c>
      <c r="T80" s="117">
        <f t="shared" si="56"/>
        <v>0</v>
      </c>
      <c r="U80" s="117">
        <f t="shared" si="56"/>
        <v>180411266.30000001</v>
      </c>
      <c r="V80" s="142"/>
      <c r="W80" s="64"/>
    </row>
    <row r="81" spans="2:23" hidden="1" x14ac:dyDescent="0.25">
      <c r="B81" s="90" t="s">
        <v>208</v>
      </c>
      <c r="C81" s="117">
        <f>293397410+29000000</f>
        <v>322397410</v>
      </c>
      <c r="D81" s="117">
        <v>26866450.833333332</v>
      </c>
      <c r="E81" s="117" t="s">
        <v>209</v>
      </c>
      <c r="F81" s="117"/>
      <c r="G81" s="117">
        <f>293397410+29000000</f>
        <v>322397410</v>
      </c>
      <c r="H81" s="25">
        <v>32297201.830000002</v>
      </c>
      <c r="I81" s="25">
        <v>-1293723.05</v>
      </c>
      <c r="J81" s="25">
        <v>35956785.200000003</v>
      </c>
      <c r="K81" s="25">
        <v>12614855.82</v>
      </c>
      <c r="L81" s="117">
        <f>+'[1]REVISIÓN MAYO 2025'!$C$60</f>
        <v>13688330.439999999</v>
      </c>
      <c r="M81" s="117">
        <v>13686846.699999999</v>
      </c>
      <c r="N81" s="74">
        <v>14214576.560000001</v>
      </c>
      <c r="O81" s="74">
        <v>21980108.190000001</v>
      </c>
      <c r="P81" s="26">
        <v>16113291.950000001</v>
      </c>
      <c r="Q81" s="79">
        <v>21152992.66</v>
      </c>
      <c r="R81" s="26"/>
      <c r="S81" s="26"/>
      <c r="T81" s="74"/>
      <c r="U81" s="25">
        <f>SUM(H81:T81)</f>
        <v>180411266.30000001</v>
      </c>
      <c r="V81" s="142"/>
    </row>
    <row r="82" spans="2:23" x14ac:dyDescent="0.25">
      <c r="B82" s="90" t="s">
        <v>32</v>
      </c>
      <c r="C82" s="143">
        <f>+C83+C85</f>
        <v>64218202</v>
      </c>
      <c r="D82" s="117">
        <v>5351516.833333334</v>
      </c>
      <c r="E82" s="117"/>
      <c r="F82" s="117"/>
      <c r="G82" s="143">
        <f t="shared" ref="G82:O82" si="57">+G83+G85</f>
        <v>64218202</v>
      </c>
      <c r="H82" s="143">
        <f t="shared" si="57"/>
        <v>1655492.24</v>
      </c>
      <c r="I82" s="143">
        <f t="shared" si="57"/>
        <v>3468829.7199999997</v>
      </c>
      <c r="J82" s="143">
        <f t="shared" si="57"/>
        <v>10287396.100000001</v>
      </c>
      <c r="K82" s="143">
        <f t="shared" si="57"/>
        <v>2564609.2400000002</v>
      </c>
      <c r="L82" s="143">
        <f>+L83+L85</f>
        <v>6848251.9199999999</v>
      </c>
      <c r="M82" s="143">
        <f t="shared" si="57"/>
        <v>5606759.5099999998</v>
      </c>
      <c r="N82" s="143">
        <f t="shared" si="57"/>
        <v>1692879.77</v>
      </c>
      <c r="O82" s="143">
        <f t="shared" si="57"/>
        <v>3028017.23</v>
      </c>
      <c r="P82" s="143">
        <f>+P83+P85</f>
        <v>5874700.1099999994</v>
      </c>
      <c r="Q82" s="143">
        <f>+Q83+Q85</f>
        <v>3760635.54</v>
      </c>
      <c r="R82" s="143">
        <f t="shared" ref="R82:U82" si="58">+R83+R85</f>
        <v>0</v>
      </c>
      <c r="S82" s="143">
        <f t="shared" si="58"/>
        <v>0</v>
      </c>
      <c r="T82" s="143">
        <f t="shared" si="58"/>
        <v>0</v>
      </c>
      <c r="U82" s="143">
        <f t="shared" si="58"/>
        <v>44787571.380000003</v>
      </c>
      <c r="V82" s="142"/>
      <c r="W82" s="64"/>
    </row>
    <row r="83" spans="2:23" hidden="1" x14ac:dyDescent="0.25">
      <c r="B83" s="90" t="s">
        <v>210</v>
      </c>
      <c r="C83" s="143">
        <f>+C84</f>
        <v>38939200</v>
      </c>
      <c r="D83" s="117"/>
      <c r="E83" s="117"/>
      <c r="F83" s="117"/>
      <c r="G83" s="143">
        <f t="shared" ref="G83:U83" si="59">+G84</f>
        <v>38939200</v>
      </c>
      <c r="H83" s="143">
        <f t="shared" si="59"/>
        <v>72098</v>
      </c>
      <c r="I83" s="143">
        <f t="shared" si="59"/>
        <v>2672209.69</v>
      </c>
      <c r="J83" s="143">
        <f t="shared" si="59"/>
        <v>5270101.3100000005</v>
      </c>
      <c r="K83" s="143">
        <f t="shared" si="59"/>
        <v>1799344.25</v>
      </c>
      <c r="L83" s="143">
        <f t="shared" si="59"/>
        <v>4184299.72</v>
      </c>
      <c r="M83" s="143">
        <f t="shared" si="59"/>
        <v>3818106.23</v>
      </c>
      <c r="N83" s="143">
        <f t="shared" si="59"/>
        <v>535151.98</v>
      </c>
      <c r="O83" s="143">
        <f t="shared" si="59"/>
        <v>1956090.96</v>
      </c>
      <c r="P83" s="143">
        <f t="shared" si="59"/>
        <v>5172736.3</v>
      </c>
      <c r="Q83" s="143">
        <f t="shared" si="59"/>
        <v>2238174.98</v>
      </c>
      <c r="R83" s="143">
        <f t="shared" si="59"/>
        <v>0</v>
      </c>
      <c r="S83" s="143">
        <f t="shared" si="59"/>
        <v>0</v>
      </c>
      <c r="T83" s="143">
        <f t="shared" si="59"/>
        <v>0</v>
      </c>
      <c r="U83" s="143">
        <f t="shared" si="59"/>
        <v>27718313.420000002</v>
      </c>
      <c r="V83" s="142"/>
      <c r="W83" s="64"/>
    </row>
    <row r="84" spans="2:23" hidden="1" x14ac:dyDescent="0.25">
      <c r="B84" s="90" t="s">
        <v>211</v>
      </c>
      <c r="C84" s="110">
        <v>38939200</v>
      </c>
      <c r="D84" s="117">
        <v>3244933.3333333335</v>
      </c>
      <c r="E84" s="117" t="s">
        <v>212</v>
      </c>
      <c r="F84" s="117"/>
      <c r="G84" s="110">
        <v>38939200</v>
      </c>
      <c r="H84" s="25">
        <v>72098</v>
      </c>
      <c r="I84" s="25">
        <v>2672209.69</v>
      </c>
      <c r="J84" s="25">
        <v>5270101.3100000005</v>
      </c>
      <c r="K84" s="25">
        <v>1799344.25</v>
      </c>
      <c r="L84" s="110">
        <f>+'[1]REVISIÓN MAYO 2025'!$C$62</f>
        <v>4184299.72</v>
      </c>
      <c r="M84" s="117">
        <v>3818106.23</v>
      </c>
      <c r="N84" s="117">
        <v>535151.98</v>
      </c>
      <c r="O84" s="74">
        <v>1956090.96</v>
      </c>
      <c r="P84" s="26">
        <v>5172736.3</v>
      </c>
      <c r="Q84" s="73">
        <v>2238174.98</v>
      </c>
      <c r="R84" s="26"/>
      <c r="S84" s="26"/>
      <c r="T84" s="74"/>
      <c r="U84" s="25">
        <f>SUM(H84:T84)</f>
        <v>27718313.420000002</v>
      </c>
      <c r="V84" s="142"/>
      <c r="W84" s="64"/>
    </row>
    <row r="85" spans="2:23" hidden="1" x14ac:dyDescent="0.25">
      <c r="B85" s="90" t="s">
        <v>213</v>
      </c>
      <c r="C85" s="110">
        <f>SUM(C86:C91)</f>
        <v>25279002</v>
      </c>
      <c r="D85" s="117"/>
      <c r="E85" s="117"/>
      <c r="F85" s="117"/>
      <c r="G85" s="110">
        <f t="shared" ref="G85:P85" si="60">SUM(G86:G91)</f>
        <v>25279002</v>
      </c>
      <c r="H85" s="110">
        <f t="shared" si="60"/>
        <v>1583394.24</v>
      </c>
      <c r="I85" s="110">
        <f t="shared" si="60"/>
        <v>796620.03</v>
      </c>
      <c r="J85" s="110">
        <f t="shared" si="60"/>
        <v>5017294.79</v>
      </c>
      <c r="K85" s="110">
        <f t="shared" si="60"/>
        <v>765264.99</v>
      </c>
      <c r="L85" s="110">
        <f>SUM(L86:L91)</f>
        <v>2663952.2000000002</v>
      </c>
      <c r="M85" s="110">
        <f t="shared" si="60"/>
        <v>1788653.28</v>
      </c>
      <c r="N85" s="110">
        <f t="shared" si="60"/>
        <v>1157727.79</v>
      </c>
      <c r="O85" s="110">
        <f t="shared" si="60"/>
        <v>1071926.27</v>
      </c>
      <c r="P85" s="110">
        <f t="shared" si="60"/>
        <v>701963.81</v>
      </c>
      <c r="Q85" s="110">
        <f>SUM(Q86:Q91)</f>
        <v>1522460.56</v>
      </c>
      <c r="R85" s="110">
        <f t="shared" ref="R85:U85" si="61">SUM(R86:R91)</f>
        <v>0</v>
      </c>
      <c r="S85" s="110">
        <f t="shared" si="61"/>
        <v>0</v>
      </c>
      <c r="T85" s="110">
        <f t="shared" si="61"/>
        <v>0</v>
      </c>
      <c r="U85" s="110">
        <f t="shared" si="61"/>
        <v>17069257.960000001</v>
      </c>
      <c r="V85" s="142"/>
      <c r="W85" s="64"/>
    </row>
    <row r="86" spans="2:23" hidden="1" x14ac:dyDescent="0.25">
      <c r="B86" s="90" t="s">
        <v>214</v>
      </c>
      <c r="C86" s="117">
        <v>14995662</v>
      </c>
      <c r="D86" s="117">
        <v>1249638.5</v>
      </c>
      <c r="E86" s="117" t="s">
        <v>215</v>
      </c>
      <c r="F86" s="117"/>
      <c r="G86" s="117">
        <v>14995662</v>
      </c>
      <c r="H86" s="25">
        <v>1543690.02</v>
      </c>
      <c r="I86" s="25">
        <v>149093</v>
      </c>
      <c r="J86" s="25">
        <v>4804194.2</v>
      </c>
      <c r="K86" s="25">
        <v>622484.15</v>
      </c>
      <c r="L86" s="117">
        <f>+'[1]REVISIÓN MAYO 2025'!$C$65</f>
        <v>2084711.62</v>
      </c>
      <c r="M86" s="117">
        <v>804746.61</v>
      </c>
      <c r="N86" s="26">
        <v>979439.02</v>
      </c>
      <c r="O86" s="74">
        <v>1030020.0700000001</v>
      </c>
      <c r="P86" s="26">
        <v>472000</v>
      </c>
      <c r="Q86" s="73">
        <v>988999.98</v>
      </c>
      <c r="R86" s="26"/>
      <c r="S86" s="26"/>
      <c r="T86" s="74"/>
      <c r="U86" s="25">
        <f t="shared" ref="U86:U91" si="62">SUM(H86:T86)</f>
        <v>13479378.670000002</v>
      </c>
      <c r="V86" s="142"/>
    </row>
    <row r="87" spans="2:23" hidden="1" x14ac:dyDescent="0.25">
      <c r="B87" s="90" t="s">
        <v>216</v>
      </c>
      <c r="C87" s="117">
        <v>880340</v>
      </c>
      <c r="D87" s="117">
        <v>73361.666666666672</v>
      </c>
      <c r="E87" s="117"/>
      <c r="F87" s="117"/>
      <c r="G87" s="117">
        <v>880340</v>
      </c>
      <c r="H87" s="117"/>
      <c r="I87" s="117"/>
      <c r="J87" s="117"/>
      <c r="K87" s="117"/>
      <c r="L87" s="117">
        <f>+'[1]REVISIÓN MAYO 2025'!$C$66</f>
        <v>177000</v>
      </c>
      <c r="M87" s="117"/>
      <c r="N87" s="117"/>
      <c r="O87" s="117"/>
      <c r="P87" s="26">
        <v>170362.5</v>
      </c>
      <c r="Q87" s="144">
        <v>6844</v>
      </c>
      <c r="R87" s="26"/>
      <c r="S87" s="26"/>
      <c r="T87" s="117"/>
      <c r="U87" s="25">
        <f t="shared" si="62"/>
        <v>354206.5</v>
      </c>
      <c r="V87" s="142"/>
    </row>
    <row r="88" spans="2:23" hidden="1" x14ac:dyDescent="0.25">
      <c r="B88" s="90" t="s">
        <v>217</v>
      </c>
      <c r="C88" s="117">
        <v>1500000</v>
      </c>
      <c r="D88" s="117">
        <v>125000</v>
      </c>
      <c r="E88" s="117"/>
      <c r="F88" s="117"/>
      <c r="G88" s="117">
        <v>1500000</v>
      </c>
      <c r="H88" s="117"/>
      <c r="I88" s="117"/>
      <c r="J88" s="117"/>
      <c r="K88" s="117"/>
      <c r="L88" s="117"/>
      <c r="M88" s="117"/>
      <c r="N88" s="117"/>
      <c r="O88" s="117"/>
      <c r="P88" s="117"/>
      <c r="Q88" s="117"/>
      <c r="R88" s="117"/>
      <c r="S88" s="117"/>
      <c r="T88" s="117"/>
      <c r="U88" s="25">
        <f t="shared" si="62"/>
        <v>0</v>
      </c>
      <c r="V88" s="142"/>
    </row>
    <row r="89" spans="2:23" hidden="1" x14ac:dyDescent="0.25">
      <c r="B89" s="90" t="s">
        <v>218</v>
      </c>
      <c r="C89" s="117">
        <v>1000000</v>
      </c>
      <c r="D89" s="117">
        <v>83333.333333333328</v>
      </c>
      <c r="E89" s="117"/>
      <c r="F89" s="117"/>
      <c r="G89" s="117">
        <v>1000000</v>
      </c>
      <c r="H89" s="117"/>
      <c r="I89" s="117"/>
      <c r="J89" s="117"/>
      <c r="K89" s="117"/>
      <c r="L89" s="117"/>
      <c r="M89" s="117"/>
      <c r="N89" s="117"/>
      <c r="O89" s="117"/>
      <c r="P89" s="117"/>
      <c r="Q89" s="117"/>
      <c r="R89" s="117"/>
      <c r="S89" s="117"/>
      <c r="T89" s="117"/>
      <c r="U89" s="25">
        <f t="shared" si="62"/>
        <v>0</v>
      </c>
      <c r="V89" s="142"/>
      <c r="W89" s="64"/>
    </row>
    <row r="90" spans="2:23" hidden="1" x14ac:dyDescent="0.25">
      <c r="B90" s="90" t="s">
        <v>219</v>
      </c>
      <c r="C90" s="117">
        <v>5003000</v>
      </c>
      <c r="D90" s="117">
        <v>416916.66666666669</v>
      </c>
      <c r="E90" s="117" t="s">
        <v>220</v>
      </c>
      <c r="F90" s="117"/>
      <c r="G90" s="117">
        <v>5003000</v>
      </c>
      <c r="H90" s="25">
        <v>39704.22</v>
      </c>
      <c r="I90" s="25">
        <v>219613.06</v>
      </c>
      <c r="J90" s="25">
        <v>189500.59</v>
      </c>
      <c r="K90" s="25">
        <v>142780.84</v>
      </c>
      <c r="L90" s="117">
        <f>+'[1]REVISIÓN MAYO 2025'!$C$70</f>
        <v>238923.44</v>
      </c>
      <c r="M90" s="117">
        <v>595686.67000000004</v>
      </c>
      <c r="N90" s="117">
        <v>178288.77</v>
      </c>
      <c r="O90" s="74">
        <v>41906.200000000004</v>
      </c>
      <c r="P90" s="26">
        <v>59601.31</v>
      </c>
      <c r="Q90" s="73">
        <v>526616.57999999996</v>
      </c>
      <c r="R90" s="26"/>
      <c r="S90" s="26"/>
      <c r="T90" s="74"/>
      <c r="U90" s="25">
        <f t="shared" si="62"/>
        <v>2232621.6799999997</v>
      </c>
      <c r="V90" s="142"/>
      <c r="W90" s="64"/>
    </row>
    <row r="91" spans="2:23" hidden="1" x14ac:dyDescent="0.25">
      <c r="B91" s="90" t="s">
        <v>221</v>
      </c>
      <c r="C91" s="117">
        <v>1900000</v>
      </c>
      <c r="D91" s="117">
        <v>158333.33333333334</v>
      </c>
      <c r="E91" s="117"/>
      <c r="F91" s="117"/>
      <c r="G91" s="117">
        <v>1900000</v>
      </c>
      <c r="H91" s="117"/>
      <c r="I91" s="25">
        <f>544334.22-116420.25</f>
        <v>427913.97</v>
      </c>
      <c r="J91" s="25">
        <v>23600</v>
      </c>
      <c r="K91" s="117"/>
      <c r="L91" s="117">
        <f>+'[1]REVISIÓN MAYO 2025'!$C$71</f>
        <v>163317.14000000001</v>
      </c>
      <c r="M91" s="117">
        <v>388220</v>
      </c>
      <c r="N91" s="26">
        <v>0</v>
      </c>
      <c r="O91" s="26"/>
      <c r="P91" s="117"/>
      <c r="Q91" s="117"/>
      <c r="R91" s="117"/>
      <c r="S91" s="117"/>
      <c r="T91" s="26"/>
      <c r="U91" s="25">
        <f t="shared" si="62"/>
        <v>1003051.11</v>
      </c>
      <c r="V91" s="142"/>
    </row>
    <row r="92" spans="2:23" ht="15.75" thickBot="1" x14ac:dyDescent="0.3">
      <c r="B92" s="90" t="s">
        <v>33</v>
      </c>
      <c r="C92" s="143">
        <f>+C93+C95+C97+C99+C101+C103+C106</f>
        <v>166687286.00000003</v>
      </c>
      <c r="D92" s="117">
        <v>13886440.500000002</v>
      </c>
      <c r="E92" s="117"/>
      <c r="F92" s="117"/>
      <c r="G92" s="143">
        <f t="shared" ref="G92:P92" si="63">+G93+G95+G97+G99+G101+G103+G106</f>
        <v>166687286.00000003</v>
      </c>
      <c r="H92" s="143">
        <f t="shared" si="63"/>
        <v>75985869.400000006</v>
      </c>
      <c r="I92" s="143">
        <f t="shared" si="63"/>
        <v>2616077.4300000002</v>
      </c>
      <c r="J92" s="143">
        <f t="shared" si="63"/>
        <v>2678965.62</v>
      </c>
      <c r="K92" s="143">
        <f t="shared" si="63"/>
        <v>221291332.44999999</v>
      </c>
      <c r="L92" s="143">
        <f>+L93+L95+L97+L99+L101+L103+L106</f>
        <v>21944573.690000001</v>
      </c>
      <c r="M92" s="143">
        <f>+M93+M95+M97+M99+M101+M103+M106</f>
        <v>20882265.129999999</v>
      </c>
      <c r="N92" s="143">
        <f>+N93+N95+N97+N99+N101+N103+N106</f>
        <v>2832415.58</v>
      </c>
      <c r="O92" s="143">
        <f t="shared" si="63"/>
        <v>19698768.289999999</v>
      </c>
      <c r="P92" s="143">
        <f t="shared" si="63"/>
        <v>3107233.5100000002</v>
      </c>
      <c r="Q92" s="143">
        <f>+Q93+Q95+Q97+Q99+Q101+Q103+Q106</f>
        <v>3794244.4000000004</v>
      </c>
      <c r="R92" s="143">
        <f t="shared" ref="R92:U92" si="64">+R93+R95+R97+R99+R101+R103+R106</f>
        <v>0</v>
      </c>
      <c r="S92" s="143">
        <f t="shared" si="64"/>
        <v>0</v>
      </c>
      <c r="T92" s="143">
        <f t="shared" si="64"/>
        <v>0</v>
      </c>
      <c r="U92" s="143">
        <f t="shared" si="64"/>
        <v>374831745.49999994</v>
      </c>
      <c r="V92" s="142"/>
    </row>
    <row r="93" spans="2:23" ht="15.75" hidden="1" thickBot="1" x14ac:dyDescent="0.3">
      <c r="B93" s="91" t="s">
        <v>222</v>
      </c>
      <c r="C93" s="92">
        <f>+C94</f>
        <v>100000</v>
      </c>
      <c r="D93" s="76"/>
      <c r="E93" s="76"/>
      <c r="F93" s="76"/>
      <c r="G93" s="92">
        <f t="shared" ref="G93:U93" si="65">+G94</f>
        <v>100000</v>
      </c>
      <c r="H93" s="92">
        <f t="shared" si="65"/>
        <v>0</v>
      </c>
      <c r="I93" s="92">
        <f t="shared" si="65"/>
        <v>0</v>
      </c>
      <c r="J93" s="92">
        <f t="shared" si="65"/>
        <v>0</v>
      </c>
      <c r="K93" s="92">
        <f t="shared" si="65"/>
        <v>0</v>
      </c>
      <c r="L93" s="92">
        <f t="shared" si="65"/>
        <v>0</v>
      </c>
      <c r="M93" s="92">
        <f t="shared" si="65"/>
        <v>0</v>
      </c>
      <c r="N93" s="92">
        <f t="shared" si="65"/>
        <v>0</v>
      </c>
      <c r="O93" s="92">
        <f t="shared" si="65"/>
        <v>0</v>
      </c>
      <c r="P93" s="92">
        <f t="shared" si="65"/>
        <v>0</v>
      </c>
      <c r="Q93" s="92">
        <f t="shared" si="65"/>
        <v>0</v>
      </c>
      <c r="R93" s="92">
        <f t="shared" si="65"/>
        <v>0</v>
      </c>
      <c r="S93" s="92">
        <f t="shared" si="65"/>
        <v>0</v>
      </c>
      <c r="T93" s="92">
        <f t="shared" si="65"/>
        <v>0</v>
      </c>
      <c r="U93" s="92">
        <f t="shared" si="65"/>
        <v>0</v>
      </c>
    </row>
    <row r="94" spans="2:23" ht="15.75" hidden="1" thickBot="1" x14ac:dyDescent="0.3">
      <c r="B94" s="90" t="s">
        <v>223</v>
      </c>
      <c r="C94" s="13">
        <v>100000</v>
      </c>
      <c r="D94" s="13">
        <v>8333.3333333333339</v>
      </c>
      <c r="E94" s="13"/>
      <c r="F94" s="13"/>
      <c r="G94" s="13">
        <v>100000</v>
      </c>
      <c r="H94" s="13"/>
      <c r="I94" s="13"/>
      <c r="J94" s="13"/>
      <c r="K94" s="13"/>
      <c r="L94" s="13"/>
      <c r="M94" s="94"/>
      <c r="U94" s="25">
        <f>SUM(H94:T94)</f>
        <v>0</v>
      </c>
      <c r="W94" s="64"/>
    </row>
    <row r="95" spans="2:23" ht="15.75" hidden="1" thickBot="1" x14ac:dyDescent="0.3">
      <c r="B95" s="91" t="s">
        <v>224</v>
      </c>
      <c r="C95" s="76">
        <f>+C96</f>
        <v>7400000</v>
      </c>
      <c r="E95" s="13"/>
      <c r="F95" s="13"/>
      <c r="G95" s="76">
        <f t="shared" ref="G95:U95" si="66">+G96</f>
        <v>7400000</v>
      </c>
      <c r="H95" s="76">
        <f t="shared" si="66"/>
        <v>390472.34</v>
      </c>
      <c r="I95" s="76">
        <f t="shared" si="66"/>
        <v>276837.02</v>
      </c>
      <c r="J95" s="76">
        <f t="shared" si="66"/>
        <v>313660.95</v>
      </c>
      <c r="K95" s="76">
        <f t="shared" si="66"/>
        <v>731131.3</v>
      </c>
      <c r="L95" s="76">
        <f t="shared" si="66"/>
        <v>1310073.78</v>
      </c>
      <c r="M95" s="76">
        <f t="shared" si="66"/>
        <v>258635.69999999998</v>
      </c>
      <c r="N95" s="76">
        <f t="shared" si="66"/>
        <v>378883.2</v>
      </c>
      <c r="O95" s="76">
        <f t="shared" si="66"/>
        <v>397770.58</v>
      </c>
      <c r="P95" s="76">
        <f t="shared" si="66"/>
        <v>357575.87</v>
      </c>
      <c r="Q95" s="76">
        <f t="shared" si="66"/>
        <v>470761.54</v>
      </c>
      <c r="R95" s="76">
        <f t="shared" si="66"/>
        <v>0</v>
      </c>
      <c r="S95" s="76">
        <f t="shared" si="66"/>
        <v>0</v>
      </c>
      <c r="T95" s="76">
        <f t="shared" si="66"/>
        <v>0</v>
      </c>
      <c r="U95" s="76">
        <f t="shared" si="66"/>
        <v>4885802.28</v>
      </c>
      <c r="W95" s="64"/>
    </row>
    <row r="96" spans="2:23" ht="15.75" hidden="1" thickBot="1" x14ac:dyDescent="0.3">
      <c r="B96" s="90" t="s">
        <v>225</v>
      </c>
      <c r="C96" s="13">
        <v>7400000</v>
      </c>
      <c r="D96" s="13">
        <v>616666.66666666663</v>
      </c>
      <c r="E96" s="13"/>
      <c r="F96" s="13"/>
      <c r="G96" s="13">
        <v>7400000</v>
      </c>
      <c r="H96" s="13">
        <v>390472.34</v>
      </c>
      <c r="I96" s="13">
        <v>276837.02</v>
      </c>
      <c r="J96" s="25">
        <v>313660.95</v>
      </c>
      <c r="K96" s="25">
        <v>731131.3</v>
      </c>
      <c r="L96" s="13">
        <v>1310073.78</v>
      </c>
      <c r="M96" s="94">
        <f>242085.9+16549.8</f>
        <v>258635.69999999998</v>
      </c>
      <c r="N96" s="13">
        <v>378883.2</v>
      </c>
      <c r="O96" s="95">
        <v>397770.58</v>
      </c>
      <c r="P96" s="26">
        <v>357575.87</v>
      </c>
      <c r="Q96" s="73">
        <v>470761.54</v>
      </c>
      <c r="R96" s="26"/>
      <c r="S96" s="26"/>
      <c r="T96" s="96"/>
      <c r="U96" s="25">
        <f>SUM(H96:T96)</f>
        <v>4885802.28</v>
      </c>
    </row>
    <row r="97" spans="1:24" ht="15.75" hidden="1" thickBot="1" x14ac:dyDescent="0.3">
      <c r="B97" s="91" t="s">
        <v>226</v>
      </c>
      <c r="C97" s="76">
        <f>+C98</f>
        <v>100000</v>
      </c>
      <c r="E97" s="13"/>
      <c r="F97" s="13"/>
      <c r="G97" s="76">
        <f t="shared" ref="G97:U97" si="67">+G98</f>
        <v>100000</v>
      </c>
      <c r="H97" s="76">
        <f t="shared" si="67"/>
        <v>0</v>
      </c>
      <c r="I97" s="76">
        <f t="shared" si="67"/>
        <v>0</v>
      </c>
      <c r="J97" s="76">
        <f t="shared" si="67"/>
        <v>0</v>
      </c>
      <c r="K97" s="76">
        <f t="shared" si="67"/>
        <v>0</v>
      </c>
      <c r="L97" s="76">
        <f t="shared" si="67"/>
        <v>0</v>
      </c>
      <c r="M97" s="76">
        <f t="shared" si="67"/>
        <v>0</v>
      </c>
      <c r="N97" s="76">
        <f t="shared" si="67"/>
        <v>0</v>
      </c>
      <c r="O97" s="76">
        <f t="shared" si="67"/>
        <v>0</v>
      </c>
      <c r="P97" s="76">
        <f t="shared" si="67"/>
        <v>0</v>
      </c>
      <c r="Q97" s="76">
        <f t="shared" si="67"/>
        <v>0</v>
      </c>
      <c r="R97" s="76">
        <f t="shared" si="67"/>
        <v>0</v>
      </c>
      <c r="S97" s="76">
        <f t="shared" si="67"/>
        <v>0</v>
      </c>
      <c r="T97" s="76">
        <f t="shared" si="67"/>
        <v>0</v>
      </c>
      <c r="U97" s="76">
        <f t="shared" si="67"/>
        <v>0</v>
      </c>
    </row>
    <row r="98" spans="1:24" ht="15.75" hidden="1" thickBot="1" x14ac:dyDescent="0.3">
      <c r="B98" s="90" t="s">
        <v>227</v>
      </c>
      <c r="C98" s="13">
        <v>100000</v>
      </c>
      <c r="D98" s="13">
        <v>8333.3333333333339</v>
      </c>
      <c r="E98" s="97" t="s">
        <v>228</v>
      </c>
      <c r="F98" s="97"/>
      <c r="G98" s="13">
        <v>100000</v>
      </c>
      <c r="H98" s="13">
        <v>0</v>
      </c>
      <c r="I98" s="13"/>
      <c r="J98" s="13"/>
      <c r="K98" s="13"/>
      <c r="L98" s="13"/>
      <c r="M98" s="94"/>
      <c r="P98" s="26"/>
      <c r="Q98" s="89"/>
      <c r="R98" s="26"/>
      <c r="S98" s="26"/>
      <c r="U98" s="25">
        <f>SUM(H98:T98)</f>
        <v>0</v>
      </c>
      <c r="W98" s="64"/>
    </row>
    <row r="99" spans="1:24" ht="30.75" hidden="1" thickBot="1" x14ac:dyDescent="0.3">
      <c r="B99" s="98" t="s">
        <v>229</v>
      </c>
      <c r="C99" s="76">
        <f>+C100</f>
        <v>52387286</v>
      </c>
      <c r="E99" s="97"/>
      <c r="F99" s="97"/>
      <c r="G99" s="76">
        <f t="shared" ref="G99:U99" si="68">+G100</f>
        <v>52387286</v>
      </c>
      <c r="H99" s="76">
        <f t="shared" si="68"/>
        <v>16909720</v>
      </c>
      <c r="I99" s="76">
        <f t="shared" si="68"/>
        <v>0</v>
      </c>
      <c r="J99" s="76">
        <f t="shared" si="68"/>
        <v>0</v>
      </c>
      <c r="K99" s="76">
        <f t="shared" si="68"/>
        <v>219156884</v>
      </c>
      <c r="L99" s="76">
        <f>+L100</f>
        <v>17708491.280000001</v>
      </c>
      <c r="M99" s="76">
        <f>+M100</f>
        <v>17708491.280000001</v>
      </c>
      <c r="N99" s="76">
        <f t="shared" si="68"/>
        <v>0</v>
      </c>
      <c r="O99" s="76">
        <f t="shared" si="68"/>
        <v>361175</v>
      </c>
      <c r="P99" s="76">
        <f t="shared" si="68"/>
        <v>0</v>
      </c>
      <c r="Q99" s="76">
        <f t="shared" si="68"/>
        <v>0</v>
      </c>
      <c r="R99" s="76">
        <f t="shared" si="68"/>
        <v>0</v>
      </c>
      <c r="S99" s="76">
        <f t="shared" si="68"/>
        <v>0</v>
      </c>
      <c r="T99" s="76">
        <f t="shared" si="68"/>
        <v>0</v>
      </c>
      <c r="U99" s="76">
        <f t="shared" si="68"/>
        <v>271844761.56</v>
      </c>
      <c r="W99" s="64"/>
    </row>
    <row r="100" spans="1:24" ht="15.75" hidden="1" thickBot="1" x14ac:dyDescent="0.3">
      <c r="B100" t="s">
        <v>230</v>
      </c>
      <c r="C100" s="13">
        <v>52387286</v>
      </c>
      <c r="D100" s="13">
        <v>4361440.5</v>
      </c>
      <c r="E100" s="13" t="s">
        <v>231</v>
      </c>
      <c r="F100" s="13"/>
      <c r="G100" s="13">
        <v>52387286</v>
      </c>
      <c r="H100" s="25">
        <v>16909720</v>
      </c>
      <c r="I100" s="13"/>
      <c r="J100" s="13"/>
      <c r="K100" s="25">
        <v>219156884</v>
      </c>
      <c r="L100" s="13">
        <f>+'[1]REVISIÓN MAYO 2025'!$C$80</f>
        <v>17708491.280000001</v>
      </c>
      <c r="M100" s="94">
        <v>17708491.280000001</v>
      </c>
      <c r="O100" s="74">
        <v>361175</v>
      </c>
      <c r="P100" s="26"/>
      <c r="Q100" s="89"/>
      <c r="R100" s="26"/>
      <c r="S100" s="26"/>
      <c r="T100" s="74"/>
      <c r="U100" s="25">
        <f>SUM(H100:T100)</f>
        <v>271844761.56</v>
      </c>
      <c r="W100" s="64"/>
    </row>
    <row r="101" spans="1:24" ht="15.75" hidden="1" thickBot="1" x14ac:dyDescent="0.3">
      <c r="B101" s="87" t="s">
        <v>232</v>
      </c>
      <c r="C101" s="76">
        <f>+C102</f>
        <v>36000000</v>
      </c>
      <c r="E101" s="13"/>
      <c r="F101" s="13"/>
      <c r="G101" s="76">
        <f t="shared" ref="G101:U101" si="69">+G102</f>
        <v>36000000</v>
      </c>
      <c r="H101" s="76">
        <f t="shared" si="69"/>
        <v>1087241.78</v>
      </c>
      <c r="I101" s="76">
        <f t="shared" si="69"/>
        <v>1550291.25</v>
      </c>
      <c r="J101" s="76">
        <f t="shared" si="69"/>
        <v>1466558.46</v>
      </c>
      <c r="K101" s="76">
        <f t="shared" si="69"/>
        <v>576345.14</v>
      </c>
      <c r="L101" s="76">
        <f t="shared" si="69"/>
        <v>2092843.49</v>
      </c>
      <c r="M101" s="76">
        <f t="shared" si="69"/>
        <v>2139612.36</v>
      </c>
      <c r="N101" s="76">
        <f t="shared" si="69"/>
        <v>1788296.71</v>
      </c>
      <c r="O101" s="76">
        <f t="shared" si="69"/>
        <v>3960010.7</v>
      </c>
      <c r="P101" s="76">
        <f t="shared" si="69"/>
        <v>1894414.6400000001</v>
      </c>
      <c r="Q101" s="76">
        <f t="shared" si="69"/>
        <v>1719143.62</v>
      </c>
      <c r="R101" s="76">
        <f t="shared" si="69"/>
        <v>0</v>
      </c>
      <c r="S101" s="76">
        <f t="shared" si="69"/>
        <v>0</v>
      </c>
      <c r="T101" s="76">
        <f t="shared" si="69"/>
        <v>0</v>
      </c>
      <c r="U101" s="76">
        <f t="shared" si="69"/>
        <v>18274758.150000002</v>
      </c>
      <c r="W101" s="64"/>
    </row>
    <row r="102" spans="1:24" ht="15.75" hidden="1" thickBot="1" x14ac:dyDescent="0.3">
      <c r="B102" t="s">
        <v>233</v>
      </c>
      <c r="C102" s="13">
        <v>36000000</v>
      </c>
      <c r="D102" s="13">
        <v>3000000</v>
      </c>
      <c r="E102" s="13" t="s">
        <v>234</v>
      </c>
      <c r="F102" s="13"/>
      <c r="G102" s="13">
        <v>36000000</v>
      </c>
      <c r="H102" s="25">
        <v>1087241.78</v>
      </c>
      <c r="I102" s="25">
        <v>1550291.25</v>
      </c>
      <c r="J102" s="25">
        <v>1466558.46</v>
      </c>
      <c r="K102" s="25">
        <v>576345.14</v>
      </c>
      <c r="L102" s="13">
        <f>+'[1]REVISIÓN MAYO 2025'!$C$83</f>
        <v>2092843.49</v>
      </c>
      <c r="M102" s="13">
        <v>2139612.36</v>
      </c>
      <c r="N102" s="74">
        <v>1788296.71</v>
      </c>
      <c r="O102" s="74">
        <v>3960010.7</v>
      </c>
      <c r="P102" s="26">
        <v>1894414.6400000001</v>
      </c>
      <c r="Q102" s="99">
        <v>1719143.62</v>
      </c>
      <c r="R102" s="26"/>
      <c r="S102" s="26"/>
      <c r="T102" s="74"/>
      <c r="U102" s="25">
        <f>SUM(H102:T102)</f>
        <v>18274758.150000002</v>
      </c>
      <c r="W102" s="64"/>
    </row>
    <row r="103" spans="1:24" ht="15.75" hidden="1" thickBot="1" x14ac:dyDescent="0.3">
      <c r="B103" s="87" t="s">
        <v>235</v>
      </c>
      <c r="C103" s="76">
        <f>SUM(C104:C105)</f>
        <v>70700000.00000003</v>
      </c>
      <c r="E103" s="13"/>
      <c r="F103" s="13"/>
      <c r="G103" s="76">
        <f t="shared" ref="G103:U103" si="70">SUM(G104:G105)</f>
        <v>70700000.00000003</v>
      </c>
      <c r="H103" s="76">
        <f t="shared" si="70"/>
        <v>57598435.280000001</v>
      </c>
      <c r="I103" s="76">
        <f t="shared" si="70"/>
        <v>788949.16</v>
      </c>
      <c r="J103" s="76">
        <f t="shared" si="70"/>
        <v>898746.21</v>
      </c>
      <c r="K103" s="76">
        <f t="shared" si="70"/>
        <v>826972.01</v>
      </c>
      <c r="L103" s="76">
        <f>SUM(L104:L105)</f>
        <v>833168.01</v>
      </c>
      <c r="M103" s="76">
        <f t="shared" si="70"/>
        <v>775525.79</v>
      </c>
      <c r="N103" s="76">
        <f t="shared" si="70"/>
        <v>665235.67000000004</v>
      </c>
      <c r="O103" s="76">
        <f t="shared" si="70"/>
        <v>14979812.01</v>
      </c>
      <c r="P103" s="76">
        <f t="shared" si="70"/>
        <v>855243</v>
      </c>
      <c r="Q103" s="76">
        <f t="shared" si="70"/>
        <v>1604339.24</v>
      </c>
      <c r="R103" s="76">
        <f t="shared" si="70"/>
        <v>0</v>
      </c>
      <c r="S103" s="76">
        <f t="shared" si="70"/>
        <v>0</v>
      </c>
      <c r="T103" s="76">
        <f t="shared" si="70"/>
        <v>0</v>
      </c>
      <c r="U103" s="76">
        <f t="shared" si="70"/>
        <v>79826426.379999995</v>
      </c>
      <c r="W103" s="64"/>
    </row>
    <row r="104" spans="1:24" ht="15.75" hidden="1" thickBot="1" x14ac:dyDescent="0.3">
      <c r="B104" t="s">
        <v>236</v>
      </c>
      <c r="C104" s="13">
        <v>68200000.00000003</v>
      </c>
      <c r="D104" s="13">
        <v>5683333.3333333358</v>
      </c>
      <c r="E104" s="13" t="s">
        <v>237</v>
      </c>
      <c r="F104" s="13"/>
      <c r="G104" s="13">
        <v>68200000.00000003</v>
      </c>
      <c r="H104" s="25">
        <v>57598435.280000001</v>
      </c>
      <c r="I104" s="25">
        <v>788949.16</v>
      </c>
      <c r="J104" s="25">
        <v>898746.21</v>
      </c>
      <c r="K104" s="25">
        <v>826972.01</v>
      </c>
      <c r="L104" s="13">
        <f>+'[1]REVISIÓN MAYO 2025'!$C$85</f>
        <v>833168.01</v>
      </c>
      <c r="M104" s="13">
        <v>775525.79</v>
      </c>
      <c r="N104" s="74">
        <v>665235.67000000004</v>
      </c>
      <c r="O104" s="74">
        <v>14979812.01</v>
      </c>
      <c r="P104" s="26">
        <v>855243</v>
      </c>
      <c r="Q104" s="73">
        <v>1604339.24</v>
      </c>
      <c r="R104" s="26"/>
      <c r="S104" s="26"/>
      <c r="T104" s="74"/>
      <c r="U104" s="25">
        <f>SUM(H104:T104)</f>
        <v>79826426.379999995</v>
      </c>
    </row>
    <row r="105" spans="1:24" ht="15.75" hidden="1" thickBot="1" x14ac:dyDescent="0.3">
      <c r="B105" t="s">
        <v>238</v>
      </c>
      <c r="C105" s="13">
        <v>2500000</v>
      </c>
      <c r="D105" s="13">
        <v>208333.33333333334</v>
      </c>
      <c r="E105" s="13"/>
      <c r="F105" s="13"/>
      <c r="G105" s="13">
        <v>2500000</v>
      </c>
      <c r="H105" s="13"/>
      <c r="J105" s="25"/>
      <c r="K105" s="25"/>
      <c r="L105" s="13"/>
      <c r="P105" s="26"/>
      <c r="Q105" s="89"/>
      <c r="R105" s="26"/>
      <c r="S105" s="26"/>
      <c r="U105" s="25">
        <f>SUM(H105:T105)</f>
        <v>0</v>
      </c>
    </row>
    <row r="106" spans="1:24" ht="15.75" hidden="1" thickBot="1" x14ac:dyDescent="0.3">
      <c r="B106" s="87" t="s">
        <v>239</v>
      </c>
      <c r="C106" s="13">
        <f>+C107</f>
        <v>0</v>
      </c>
      <c r="E106" s="13"/>
      <c r="F106" s="13"/>
      <c r="G106" s="76">
        <f t="shared" ref="G106:U106" si="71">+G107</f>
        <v>0</v>
      </c>
      <c r="H106" s="76">
        <f t="shared" si="71"/>
        <v>0</v>
      </c>
      <c r="I106" s="76">
        <f t="shared" si="71"/>
        <v>0</v>
      </c>
      <c r="J106" s="76">
        <f t="shared" si="71"/>
        <v>0</v>
      </c>
      <c r="K106" s="76">
        <f t="shared" si="71"/>
        <v>0</v>
      </c>
      <c r="L106" s="76">
        <f t="shared" si="71"/>
        <v>-2.87</v>
      </c>
      <c r="M106" s="76">
        <f t="shared" si="71"/>
        <v>0</v>
      </c>
      <c r="N106" s="76">
        <f t="shared" si="71"/>
        <v>0</v>
      </c>
      <c r="O106" s="76">
        <f t="shared" si="71"/>
        <v>0</v>
      </c>
      <c r="P106" s="76">
        <f t="shared" si="71"/>
        <v>0</v>
      </c>
      <c r="Q106" s="76">
        <f t="shared" si="71"/>
        <v>0</v>
      </c>
      <c r="R106" s="76">
        <f t="shared" si="71"/>
        <v>0</v>
      </c>
      <c r="S106" s="76">
        <f t="shared" si="71"/>
        <v>0</v>
      </c>
      <c r="T106" s="76">
        <f t="shared" si="71"/>
        <v>0</v>
      </c>
      <c r="U106" s="76">
        <f t="shared" si="71"/>
        <v>-2.87</v>
      </c>
    </row>
    <row r="107" spans="1:24" ht="15.75" hidden="1" thickBot="1" x14ac:dyDescent="0.3">
      <c r="B107" t="s">
        <v>240</v>
      </c>
      <c r="C107" s="13"/>
      <c r="E107" s="13"/>
      <c r="F107" s="13"/>
      <c r="G107" s="13"/>
      <c r="H107" s="13"/>
      <c r="J107" s="25"/>
      <c r="K107" s="25"/>
      <c r="L107" s="13">
        <v>-2.87</v>
      </c>
      <c r="Q107" s="100">
        <v>0</v>
      </c>
      <c r="U107" s="25">
        <f>SUM(H107:T107)</f>
        <v>-2.87</v>
      </c>
      <c r="W107" s="64"/>
      <c r="X107" s="13"/>
    </row>
    <row r="108" spans="1:24" ht="15.75" thickBot="1" x14ac:dyDescent="0.3">
      <c r="A108" s="84"/>
      <c r="B108" s="85" t="s">
        <v>241</v>
      </c>
      <c r="C108" s="63">
        <f>+C109+C114+C121+C130+C133+C140+C147+C155</f>
        <v>242134497</v>
      </c>
      <c r="D108" s="62">
        <v>20177874.75</v>
      </c>
      <c r="E108" s="62" t="s">
        <v>242</v>
      </c>
      <c r="F108" s="62"/>
      <c r="G108" s="63">
        <f>+G109+G114+G121+G130+G133+G140+G147+G155</f>
        <v>242134497</v>
      </c>
      <c r="H108" s="63">
        <f>+H109+H114+H121+H130+H133+H140+H147+H155</f>
        <v>16402973.180000002</v>
      </c>
      <c r="I108" s="63">
        <f>+I109+I114+I121+I130+I133+I140+I147+I155</f>
        <v>20503214.800000001</v>
      </c>
      <c r="J108" s="63">
        <f t="shared" ref="J108:P108" si="72">+J109+J114+J121+J130+J133+J140+J147+J155</f>
        <v>16290544.629999999</v>
      </c>
      <c r="K108" s="63">
        <f>+K109+K114+K121+K130+K133+K140+K147+K155</f>
        <v>21087129.190000001</v>
      </c>
      <c r="L108" s="63">
        <f>+L109+L114+L121+L130+L133+L140+L147+L155</f>
        <v>20481732.18</v>
      </c>
      <c r="M108" s="63">
        <f t="shared" si="72"/>
        <v>23624374.359999999</v>
      </c>
      <c r="N108" s="63">
        <f t="shared" si="72"/>
        <v>19641480.18</v>
      </c>
      <c r="O108" s="63">
        <f t="shared" si="72"/>
        <v>21853788.789999999</v>
      </c>
      <c r="P108" s="63">
        <f t="shared" si="72"/>
        <v>19903951.780000001</v>
      </c>
      <c r="Q108" s="63">
        <f>+Q109+Q114+Q121+Q130+Q133+Q140+Q147+Q155</f>
        <v>23430005.149999999</v>
      </c>
      <c r="R108" s="101">
        <f t="shared" ref="R108:U108" si="73">+R109+R114+R121+R130+R133+R140+R147+R155</f>
        <v>0</v>
      </c>
      <c r="S108" s="101">
        <f t="shared" si="73"/>
        <v>0</v>
      </c>
      <c r="T108" s="101">
        <f t="shared" si="73"/>
        <v>0</v>
      </c>
      <c r="U108" s="101">
        <f t="shared" si="73"/>
        <v>203219194.24000001</v>
      </c>
      <c r="W108" s="52"/>
    </row>
    <row r="109" spans="1:24" x14ac:dyDescent="0.25">
      <c r="B109" s="16" t="s">
        <v>36</v>
      </c>
      <c r="C109" s="110">
        <f>+C110+C112</f>
        <v>68000000</v>
      </c>
      <c r="D109" s="117">
        <v>5666666.6699999999</v>
      </c>
      <c r="E109" s="117"/>
      <c r="F109" s="117"/>
      <c r="G109" s="110">
        <f t="shared" ref="G109:O109" si="74">+G110+G112</f>
        <v>68000000</v>
      </c>
      <c r="H109" s="110">
        <f t="shared" si="74"/>
        <v>6519619.5600000005</v>
      </c>
      <c r="I109" s="110">
        <f t="shared" si="74"/>
        <v>6608696.1200000001</v>
      </c>
      <c r="J109" s="110">
        <f t="shared" si="74"/>
        <v>5987207.9100000001</v>
      </c>
      <c r="K109" s="110">
        <f t="shared" si="74"/>
        <v>6522961.0700000003</v>
      </c>
      <c r="L109" s="110">
        <f t="shared" si="74"/>
        <v>7081424.8300000001</v>
      </c>
      <c r="M109" s="110">
        <f t="shared" si="74"/>
        <v>8607465.0500000007</v>
      </c>
      <c r="N109" s="110">
        <f t="shared" si="74"/>
        <v>7462786.5199999996</v>
      </c>
      <c r="O109" s="110">
        <f t="shared" si="74"/>
        <v>9354336.3900000006</v>
      </c>
      <c r="P109" s="110">
        <f>+P110+P112</f>
        <v>7473012.4100000001</v>
      </c>
      <c r="Q109" s="110">
        <f>+Q110+Q112</f>
        <v>7073481.1200000001</v>
      </c>
      <c r="R109" s="110">
        <f t="shared" ref="R109:U109" si="75">+R110+R112</f>
        <v>0</v>
      </c>
      <c r="S109" s="110">
        <f t="shared" si="75"/>
        <v>0</v>
      </c>
      <c r="T109" s="110">
        <f t="shared" si="75"/>
        <v>0</v>
      </c>
      <c r="U109" s="110">
        <f t="shared" si="75"/>
        <v>72690990.980000004</v>
      </c>
      <c r="V109" s="142"/>
      <c r="W109" s="64"/>
    </row>
    <row r="110" spans="1:24" hidden="1" x14ac:dyDescent="0.25">
      <c r="B110" s="16" t="s">
        <v>243</v>
      </c>
      <c r="C110" s="110">
        <f>+C111</f>
        <v>65000000</v>
      </c>
      <c r="D110" s="117"/>
      <c r="E110" s="117"/>
      <c r="F110" s="117"/>
      <c r="G110" s="110">
        <f t="shared" ref="G110:U110" si="76">+G111</f>
        <v>65000000</v>
      </c>
      <c r="H110" s="110">
        <f t="shared" si="76"/>
        <v>6488286.3900000006</v>
      </c>
      <c r="I110" s="110">
        <f t="shared" si="76"/>
        <v>6334804.4199999999</v>
      </c>
      <c r="J110" s="110">
        <f t="shared" si="76"/>
        <v>5808170.9100000001</v>
      </c>
      <c r="K110" s="110">
        <f t="shared" si="76"/>
        <v>6249667.2700000005</v>
      </c>
      <c r="L110" s="110">
        <f t="shared" si="76"/>
        <v>6862434.8300000001</v>
      </c>
      <c r="M110" s="110">
        <f t="shared" si="76"/>
        <v>8332474.5300000003</v>
      </c>
      <c r="N110" s="110">
        <f t="shared" si="76"/>
        <v>7462786.5199999996</v>
      </c>
      <c r="O110" s="110">
        <f t="shared" si="76"/>
        <v>9123736.3900000006</v>
      </c>
      <c r="P110" s="110">
        <f t="shared" si="76"/>
        <v>7299072.4100000001</v>
      </c>
      <c r="Q110" s="110">
        <f t="shared" si="76"/>
        <v>6933330.7199999997</v>
      </c>
      <c r="R110" s="110">
        <f t="shared" si="76"/>
        <v>0</v>
      </c>
      <c r="S110" s="110">
        <f t="shared" si="76"/>
        <v>0</v>
      </c>
      <c r="T110" s="110">
        <f t="shared" si="76"/>
        <v>0</v>
      </c>
      <c r="U110" s="110">
        <f t="shared" si="76"/>
        <v>70894764.390000001</v>
      </c>
      <c r="V110" s="142"/>
      <c r="W110" s="64"/>
    </row>
    <row r="111" spans="1:24" hidden="1" x14ac:dyDescent="0.25">
      <c r="B111" t="s">
        <v>244</v>
      </c>
      <c r="C111" s="110">
        <v>65000000</v>
      </c>
      <c r="D111" s="117">
        <v>5416666.6600000001</v>
      </c>
      <c r="E111" s="117" t="s">
        <v>245</v>
      </c>
      <c r="F111" s="117"/>
      <c r="G111" s="110">
        <v>65000000</v>
      </c>
      <c r="H111" s="25">
        <v>6488286.3900000006</v>
      </c>
      <c r="I111" s="25">
        <v>6334804.4199999999</v>
      </c>
      <c r="J111" s="25">
        <v>5808170.9100000001</v>
      </c>
      <c r="K111" s="25">
        <v>6249667.2700000005</v>
      </c>
      <c r="L111" s="110">
        <f>+'[1]REVISIÓN MAYO 2025'!$C$90</f>
        <v>6862434.8300000001</v>
      </c>
      <c r="M111" s="117">
        <v>8332474.5300000003</v>
      </c>
      <c r="N111" s="74">
        <v>7462786.5199999996</v>
      </c>
      <c r="O111" s="74">
        <v>9123736.3900000006</v>
      </c>
      <c r="P111" s="26">
        <v>7299072.4100000001</v>
      </c>
      <c r="Q111" s="73">
        <v>6933330.7199999997</v>
      </c>
      <c r="R111" s="26"/>
      <c r="S111" s="26"/>
      <c r="T111" s="74"/>
      <c r="U111" s="25">
        <f>SUM(H111:T111)</f>
        <v>70894764.390000001</v>
      </c>
      <c r="V111" s="142"/>
      <c r="W111" s="64"/>
    </row>
    <row r="112" spans="1:24" hidden="1" x14ac:dyDescent="0.25">
      <c r="B112" t="s">
        <v>246</v>
      </c>
      <c r="C112" s="110">
        <f>+C113</f>
        <v>3000000</v>
      </c>
      <c r="D112" s="117"/>
      <c r="E112" s="117"/>
      <c r="F112" s="117"/>
      <c r="G112" s="110">
        <f t="shared" ref="G112:U112" si="77">+G113</f>
        <v>3000000</v>
      </c>
      <c r="H112" s="110">
        <f t="shared" si="77"/>
        <v>31333.170000000002</v>
      </c>
      <c r="I112" s="110">
        <f t="shared" si="77"/>
        <v>273891.7</v>
      </c>
      <c r="J112" s="110">
        <f t="shared" si="77"/>
        <v>179037</v>
      </c>
      <c r="K112" s="110">
        <f t="shared" si="77"/>
        <v>273293.8</v>
      </c>
      <c r="L112" s="110">
        <f t="shared" si="77"/>
        <v>218990</v>
      </c>
      <c r="M112" s="110">
        <f t="shared" si="77"/>
        <v>274990.52</v>
      </c>
      <c r="N112" s="110">
        <f t="shared" si="77"/>
        <v>0</v>
      </c>
      <c r="O112" s="110">
        <f t="shared" si="77"/>
        <v>230600</v>
      </c>
      <c r="P112" s="110">
        <f>+P113</f>
        <v>173940</v>
      </c>
      <c r="Q112" s="110">
        <f t="shared" si="77"/>
        <v>140150.39999999999</v>
      </c>
      <c r="R112" s="110">
        <f t="shared" si="77"/>
        <v>0</v>
      </c>
      <c r="S112" s="110">
        <f t="shared" si="77"/>
        <v>0</v>
      </c>
      <c r="T112" s="110">
        <f t="shared" si="77"/>
        <v>0</v>
      </c>
      <c r="U112" s="110">
        <f t="shared" si="77"/>
        <v>1796226.5899999999</v>
      </c>
      <c r="V112" s="142"/>
      <c r="W112" s="64"/>
    </row>
    <row r="113" spans="2:23" hidden="1" x14ac:dyDescent="0.25">
      <c r="B113" t="s">
        <v>247</v>
      </c>
      <c r="C113" s="117">
        <v>3000000</v>
      </c>
      <c r="D113" s="117">
        <v>250000</v>
      </c>
      <c r="E113" s="117" t="s">
        <v>248</v>
      </c>
      <c r="F113" s="117"/>
      <c r="G113" s="117">
        <v>3000000</v>
      </c>
      <c r="H113" s="25">
        <v>31333.170000000002</v>
      </c>
      <c r="I113" s="25">
        <v>273891.7</v>
      </c>
      <c r="J113" s="25">
        <v>179037</v>
      </c>
      <c r="K113" s="25">
        <v>273293.8</v>
      </c>
      <c r="L113" s="117">
        <f>+'[1]REVISIÓN MAYO 2025'!$C$92</f>
        <v>218990</v>
      </c>
      <c r="M113" s="117">
        <v>274990.52</v>
      </c>
      <c r="N113" s="117"/>
      <c r="O113" s="74">
        <v>230600</v>
      </c>
      <c r="P113" s="26">
        <v>173940</v>
      </c>
      <c r="Q113" s="73">
        <v>140150.39999999999</v>
      </c>
      <c r="R113" s="26"/>
      <c r="S113" s="26"/>
      <c r="T113" s="74"/>
      <c r="U113" s="25">
        <f>SUM(H113:T113)</f>
        <v>1796226.5899999999</v>
      </c>
      <c r="V113" s="142"/>
    </row>
    <row r="114" spans="2:23" x14ac:dyDescent="0.25">
      <c r="B114" s="16" t="s">
        <v>37</v>
      </c>
      <c r="C114" s="110">
        <f>+C115+C117+C119</f>
        <v>2300000</v>
      </c>
      <c r="D114" s="117">
        <v>191666.66666666669</v>
      </c>
      <c r="E114" s="117"/>
      <c r="F114" s="117"/>
      <c r="G114" s="110">
        <f>+G115+G117+G119</f>
        <v>2300000</v>
      </c>
      <c r="H114" s="110">
        <f t="shared" ref="H114:U114" si="78">+H115+H117+H119</f>
        <v>84812.12</v>
      </c>
      <c r="I114" s="110">
        <f t="shared" si="78"/>
        <v>30946.489999999998</v>
      </c>
      <c r="J114" s="110">
        <f t="shared" si="78"/>
        <v>37276.200000000004</v>
      </c>
      <c r="K114" s="110">
        <f t="shared" si="78"/>
        <v>136199.97999999998</v>
      </c>
      <c r="L114" s="110">
        <f t="shared" si="78"/>
        <v>227563</v>
      </c>
      <c r="M114" s="110">
        <f t="shared" si="78"/>
        <v>82312.81</v>
      </c>
      <c r="N114" s="110">
        <f t="shared" si="78"/>
        <v>248951.99</v>
      </c>
      <c r="O114" s="110">
        <f t="shared" si="78"/>
        <v>14875</v>
      </c>
      <c r="P114" s="110">
        <f t="shared" si="78"/>
        <v>0</v>
      </c>
      <c r="Q114" s="110">
        <f t="shared" si="78"/>
        <v>0</v>
      </c>
      <c r="R114" s="110">
        <f t="shared" si="78"/>
        <v>0</v>
      </c>
      <c r="S114" s="110">
        <f t="shared" si="78"/>
        <v>0</v>
      </c>
      <c r="T114" s="110">
        <f t="shared" si="78"/>
        <v>0</v>
      </c>
      <c r="U114" s="110">
        <f t="shared" si="78"/>
        <v>862937.59</v>
      </c>
      <c r="V114" s="142"/>
      <c r="W114" s="64"/>
    </row>
    <row r="115" spans="2:23" hidden="1" x14ac:dyDescent="0.25">
      <c r="B115" s="16" t="s">
        <v>249</v>
      </c>
      <c r="C115" s="110">
        <f>+C116</f>
        <v>200000</v>
      </c>
      <c r="D115" s="117"/>
      <c r="E115" s="117"/>
      <c r="F115" s="117"/>
      <c r="G115" s="110">
        <f>+G116</f>
        <v>200000</v>
      </c>
      <c r="H115" s="110">
        <f t="shared" ref="H115:U115" si="79">+H116</f>
        <v>1700</v>
      </c>
      <c r="I115" s="110">
        <f t="shared" si="79"/>
        <v>0</v>
      </c>
      <c r="J115" s="110">
        <f t="shared" si="79"/>
        <v>0</v>
      </c>
      <c r="K115" s="110">
        <f t="shared" si="79"/>
        <v>47200</v>
      </c>
      <c r="L115" s="110">
        <f t="shared" si="79"/>
        <v>32863</v>
      </c>
      <c r="M115" s="110">
        <f t="shared" si="79"/>
        <v>144.01</v>
      </c>
      <c r="N115" s="110">
        <f t="shared" si="79"/>
        <v>3068</v>
      </c>
      <c r="O115" s="110">
        <f t="shared" si="79"/>
        <v>0</v>
      </c>
      <c r="P115" s="110">
        <f t="shared" si="79"/>
        <v>0</v>
      </c>
      <c r="Q115" s="110">
        <f t="shared" si="79"/>
        <v>0</v>
      </c>
      <c r="R115" s="110">
        <f t="shared" si="79"/>
        <v>0</v>
      </c>
      <c r="S115" s="110">
        <f t="shared" si="79"/>
        <v>0</v>
      </c>
      <c r="T115" s="110">
        <f t="shared" si="79"/>
        <v>0</v>
      </c>
      <c r="U115" s="110">
        <f t="shared" si="79"/>
        <v>84975.01</v>
      </c>
      <c r="V115" s="142"/>
      <c r="W115" s="64"/>
    </row>
    <row r="116" spans="2:23" hidden="1" x14ac:dyDescent="0.25">
      <c r="B116" t="s">
        <v>250</v>
      </c>
      <c r="C116" s="117">
        <v>200000</v>
      </c>
      <c r="D116" s="117">
        <v>16666.666666666668</v>
      </c>
      <c r="E116" s="117" t="s">
        <v>251</v>
      </c>
      <c r="F116" s="117"/>
      <c r="G116" s="117">
        <v>200000</v>
      </c>
      <c r="H116" s="25">
        <v>1700</v>
      </c>
      <c r="I116" s="117"/>
      <c r="J116" s="117"/>
      <c r="K116" s="25">
        <v>47200</v>
      </c>
      <c r="L116" s="117">
        <f>+'[1]REVISIÓN MAYO 2025'!$C$94</f>
        <v>32863</v>
      </c>
      <c r="M116" s="117">
        <v>144.01</v>
      </c>
      <c r="N116" s="117">
        <v>3068</v>
      </c>
      <c r="O116" s="117"/>
      <c r="P116" s="117"/>
      <c r="Q116" s="117"/>
      <c r="R116" s="117"/>
      <c r="S116" s="117"/>
      <c r="T116" s="117"/>
      <c r="U116" s="25">
        <f>SUM(H116:T116)</f>
        <v>84975.01</v>
      </c>
      <c r="V116" s="142"/>
      <c r="W116" s="64"/>
    </row>
    <row r="117" spans="2:23" hidden="1" x14ac:dyDescent="0.25">
      <c r="B117" t="s">
        <v>252</v>
      </c>
      <c r="C117" s="117">
        <f>+C118</f>
        <v>1400000</v>
      </c>
      <c r="D117" s="117"/>
      <c r="E117" s="117"/>
      <c r="F117" s="117"/>
      <c r="G117" s="117">
        <f>+G118</f>
        <v>1400000</v>
      </c>
      <c r="H117" s="117">
        <f t="shared" ref="H117:U117" si="80">+H118</f>
        <v>83112.12</v>
      </c>
      <c r="I117" s="117">
        <f t="shared" si="80"/>
        <v>9706.49</v>
      </c>
      <c r="J117" s="117">
        <f t="shared" si="80"/>
        <v>37276.200000000004</v>
      </c>
      <c r="K117" s="117">
        <f t="shared" si="80"/>
        <v>88999.98</v>
      </c>
      <c r="L117" s="117">
        <f t="shared" si="80"/>
        <v>194700</v>
      </c>
      <c r="M117" s="117">
        <f t="shared" si="80"/>
        <v>82168.800000000003</v>
      </c>
      <c r="N117" s="117">
        <f t="shared" si="80"/>
        <v>51183.99</v>
      </c>
      <c r="O117" s="117">
        <f t="shared" si="80"/>
        <v>14875</v>
      </c>
      <c r="P117" s="117">
        <f t="shared" si="80"/>
        <v>0</v>
      </c>
      <c r="Q117" s="117">
        <f t="shared" si="80"/>
        <v>0</v>
      </c>
      <c r="R117" s="117">
        <f t="shared" si="80"/>
        <v>0</v>
      </c>
      <c r="S117" s="117">
        <f t="shared" si="80"/>
        <v>0</v>
      </c>
      <c r="T117" s="117">
        <f t="shared" si="80"/>
        <v>0</v>
      </c>
      <c r="U117" s="117">
        <f t="shared" si="80"/>
        <v>562022.57999999996</v>
      </c>
      <c r="V117" s="142"/>
      <c r="W117" s="64"/>
    </row>
    <row r="118" spans="2:23" hidden="1" x14ac:dyDescent="0.25">
      <c r="B118" t="s">
        <v>253</v>
      </c>
      <c r="C118" s="117">
        <v>1400000</v>
      </c>
      <c r="D118" s="117">
        <v>116666.66666666667</v>
      </c>
      <c r="E118" s="117" t="s">
        <v>254</v>
      </c>
      <c r="F118" s="117"/>
      <c r="G118" s="117">
        <v>1400000</v>
      </c>
      <c r="H118" s="25">
        <v>83112.12</v>
      </c>
      <c r="I118" s="25">
        <v>9706.49</v>
      </c>
      <c r="J118" s="25">
        <v>37276.200000000004</v>
      </c>
      <c r="K118" s="25">
        <v>88999.98</v>
      </c>
      <c r="L118" s="117">
        <f>+'[1]REVISIÓN MAYO 2025'!$C$96</f>
        <v>194700</v>
      </c>
      <c r="M118" s="117">
        <v>82168.800000000003</v>
      </c>
      <c r="N118" s="74">
        <v>51183.99</v>
      </c>
      <c r="O118" s="74">
        <v>14875</v>
      </c>
      <c r="P118" s="117"/>
      <c r="Q118" s="117"/>
      <c r="R118" s="117"/>
      <c r="S118" s="117"/>
      <c r="T118" s="74"/>
      <c r="U118" s="25">
        <f>SUM(H118:T118)</f>
        <v>562022.57999999996</v>
      </c>
      <c r="V118" s="142"/>
    </row>
    <row r="119" spans="2:23" hidden="1" x14ac:dyDescent="0.25">
      <c r="B119" t="s">
        <v>255</v>
      </c>
      <c r="C119" s="117">
        <f>+C120</f>
        <v>700000</v>
      </c>
      <c r="D119" s="117"/>
      <c r="E119" s="117"/>
      <c r="F119" s="117"/>
      <c r="G119" s="117">
        <f t="shared" ref="G119:U119" si="81">+G120</f>
        <v>700000</v>
      </c>
      <c r="H119" s="117">
        <f t="shared" si="81"/>
        <v>0</v>
      </c>
      <c r="I119" s="117">
        <f t="shared" si="81"/>
        <v>21240</v>
      </c>
      <c r="J119" s="117">
        <f t="shared" si="81"/>
        <v>0</v>
      </c>
      <c r="K119" s="117">
        <f t="shared" si="81"/>
        <v>0</v>
      </c>
      <c r="L119" s="117">
        <f t="shared" si="81"/>
        <v>0</v>
      </c>
      <c r="M119" s="117">
        <f t="shared" si="81"/>
        <v>0</v>
      </c>
      <c r="N119" s="117">
        <f t="shared" si="81"/>
        <v>194700</v>
      </c>
      <c r="O119" s="117">
        <f t="shared" si="81"/>
        <v>0</v>
      </c>
      <c r="P119" s="117">
        <f t="shared" si="81"/>
        <v>0</v>
      </c>
      <c r="Q119" s="117">
        <f t="shared" si="81"/>
        <v>0</v>
      </c>
      <c r="R119" s="117">
        <f t="shared" si="81"/>
        <v>0</v>
      </c>
      <c r="S119" s="117">
        <f t="shared" si="81"/>
        <v>0</v>
      </c>
      <c r="T119" s="117">
        <f t="shared" si="81"/>
        <v>0</v>
      </c>
      <c r="U119" s="117">
        <f t="shared" si="81"/>
        <v>215940</v>
      </c>
      <c r="V119" s="142"/>
    </row>
    <row r="120" spans="2:23" hidden="1" x14ac:dyDescent="0.25">
      <c r="B120" t="s">
        <v>256</v>
      </c>
      <c r="C120" s="117">
        <v>700000</v>
      </c>
      <c r="D120" s="117">
        <v>58333.333333333336</v>
      </c>
      <c r="E120" s="117"/>
      <c r="F120" s="117"/>
      <c r="G120" s="117">
        <v>700000</v>
      </c>
      <c r="H120" s="117"/>
      <c r="I120" s="25">
        <v>21240</v>
      </c>
      <c r="J120" s="25"/>
      <c r="K120" s="117"/>
      <c r="L120" s="117"/>
      <c r="M120" s="117"/>
      <c r="N120" s="74">
        <v>194700</v>
      </c>
      <c r="O120" s="117"/>
      <c r="P120" s="26"/>
      <c r="Q120" s="26"/>
      <c r="R120" s="26"/>
      <c r="S120" s="26"/>
      <c r="T120" s="117"/>
      <c r="U120" s="25">
        <f>SUM(H120:T120)</f>
        <v>215940</v>
      </c>
      <c r="V120" s="142"/>
    </row>
    <row r="121" spans="2:23" x14ac:dyDescent="0.25">
      <c r="B121" s="16" t="s">
        <v>257</v>
      </c>
      <c r="C121" s="110">
        <f>+C122+C124+C126+C128</f>
        <v>10823000</v>
      </c>
      <c r="D121" s="117">
        <v>901916.66666666674</v>
      </c>
      <c r="E121" s="117"/>
      <c r="F121" s="117"/>
      <c r="G121" s="110">
        <f t="shared" ref="G121:O121" si="82">+G122+G124+G126+G128</f>
        <v>10823000</v>
      </c>
      <c r="H121" s="110">
        <f t="shared" si="82"/>
        <v>229227.9</v>
      </c>
      <c r="I121" s="110">
        <f t="shared" si="82"/>
        <v>463194.98</v>
      </c>
      <c r="J121" s="110">
        <f t="shared" si="82"/>
        <v>100189.84</v>
      </c>
      <c r="K121" s="110">
        <f t="shared" si="82"/>
        <v>3688953.8</v>
      </c>
      <c r="L121" s="110">
        <f t="shared" si="82"/>
        <v>663823.69999999995</v>
      </c>
      <c r="M121" s="110">
        <f t="shared" si="82"/>
        <v>1013238.05</v>
      </c>
      <c r="N121" s="110">
        <f t="shared" si="82"/>
        <v>417292.38</v>
      </c>
      <c r="O121" s="110">
        <f t="shared" si="82"/>
        <v>348241.1</v>
      </c>
      <c r="P121" s="110">
        <f>+P122+P124+P126+P128</f>
        <v>1168176.3999999999</v>
      </c>
      <c r="Q121" s="110">
        <f>+Q122+Q124+Q126+Q128</f>
        <v>216144.65999999997</v>
      </c>
      <c r="R121" s="110">
        <f t="shared" ref="R121:U121" si="83">+R122+R124+R126+R128</f>
        <v>0</v>
      </c>
      <c r="S121" s="110">
        <f t="shared" si="83"/>
        <v>0</v>
      </c>
      <c r="T121" s="110">
        <f t="shared" si="83"/>
        <v>0</v>
      </c>
      <c r="U121" s="110">
        <f t="shared" si="83"/>
        <v>8308482.8099999987</v>
      </c>
      <c r="V121" s="142"/>
      <c r="W121" s="64"/>
    </row>
    <row r="122" spans="2:23" hidden="1" x14ac:dyDescent="0.25">
      <c r="B122" t="s">
        <v>258</v>
      </c>
      <c r="C122" s="110">
        <f>+C123</f>
        <v>3800000</v>
      </c>
      <c r="D122" s="117"/>
      <c r="E122" s="117"/>
      <c r="F122" s="117"/>
      <c r="G122" s="110">
        <f t="shared" ref="G122:U122" si="84">+G123</f>
        <v>3800000</v>
      </c>
      <c r="H122" s="110">
        <f t="shared" si="84"/>
        <v>59029.5</v>
      </c>
      <c r="I122" s="110">
        <f t="shared" si="84"/>
        <v>94636</v>
      </c>
      <c r="J122" s="110">
        <f t="shared" si="84"/>
        <v>5192</v>
      </c>
      <c r="K122" s="110">
        <f t="shared" si="84"/>
        <v>0</v>
      </c>
      <c r="L122" s="110">
        <f t="shared" si="84"/>
        <v>197886</v>
      </c>
      <c r="M122" s="110">
        <f t="shared" si="84"/>
        <v>588466</v>
      </c>
      <c r="N122" s="110">
        <f t="shared" si="84"/>
        <v>115050</v>
      </c>
      <c r="O122" s="110">
        <f t="shared" si="84"/>
        <v>176056</v>
      </c>
      <c r="P122" s="110">
        <f t="shared" si="84"/>
        <v>411643</v>
      </c>
      <c r="Q122" s="110">
        <f t="shared" si="84"/>
        <v>32398.080000000002</v>
      </c>
      <c r="R122" s="110">
        <f t="shared" si="84"/>
        <v>0</v>
      </c>
      <c r="S122" s="110">
        <f t="shared" si="84"/>
        <v>0</v>
      </c>
      <c r="T122" s="110">
        <f t="shared" si="84"/>
        <v>0</v>
      </c>
      <c r="U122" s="110">
        <f t="shared" si="84"/>
        <v>1680356.58</v>
      </c>
      <c r="V122" s="142"/>
      <c r="W122" s="64"/>
    </row>
    <row r="123" spans="2:23" hidden="1" x14ac:dyDescent="0.25">
      <c r="B123" t="s">
        <v>259</v>
      </c>
      <c r="C123" s="117">
        <v>3800000</v>
      </c>
      <c r="D123" s="117">
        <v>316666.66666666669</v>
      </c>
      <c r="E123" s="117" t="s">
        <v>260</v>
      </c>
      <c r="F123" s="117"/>
      <c r="G123" s="117">
        <v>3800000</v>
      </c>
      <c r="H123" s="25">
        <v>59029.5</v>
      </c>
      <c r="I123" s="25">
        <v>94636</v>
      </c>
      <c r="J123" s="25">
        <v>5192</v>
      </c>
      <c r="K123" s="117"/>
      <c r="L123" s="117">
        <f>+'[1]REVISIÓN MAYO 2025'!$C$99</f>
        <v>197886</v>
      </c>
      <c r="M123" s="117">
        <v>588466</v>
      </c>
      <c r="N123" s="117">
        <v>115050</v>
      </c>
      <c r="O123" s="74">
        <v>176056</v>
      </c>
      <c r="P123" s="26">
        <v>411643</v>
      </c>
      <c r="Q123" s="26">
        <v>32398.080000000002</v>
      </c>
      <c r="R123" s="26"/>
      <c r="S123" s="26"/>
      <c r="T123" s="74"/>
      <c r="U123" s="25">
        <f>SUM(H123:T123)</f>
        <v>1680356.58</v>
      </c>
      <c r="V123" s="142"/>
    </row>
    <row r="124" spans="2:23" hidden="1" x14ac:dyDescent="0.25">
      <c r="B124" t="s">
        <v>261</v>
      </c>
      <c r="C124" s="117">
        <f>+C125</f>
        <v>4800000</v>
      </c>
      <c r="D124" s="117"/>
      <c r="E124" s="117"/>
      <c r="F124" s="117"/>
      <c r="G124" s="117">
        <f t="shared" ref="G124:O124" si="85">+G125</f>
        <v>4800000</v>
      </c>
      <c r="H124" s="117">
        <f t="shared" si="85"/>
        <v>162174.39999999999</v>
      </c>
      <c r="I124" s="117">
        <f t="shared" si="85"/>
        <v>217334.98</v>
      </c>
      <c r="J124" s="117">
        <f t="shared" si="85"/>
        <v>62997.840000000004</v>
      </c>
      <c r="K124" s="117">
        <f t="shared" si="85"/>
        <v>1003953.8</v>
      </c>
      <c r="L124" s="117">
        <f t="shared" si="85"/>
        <v>300778.96999999997</v>
      </c>
      <c r="M124" s="117">
        <f t="shared" si="85"/>
        <v>422412.05</v>
      </c>
      <c r="N124" s="117">
        <f t="shared" si="85"/>
        <v>302242.38</v>
      </c>
      <c r="O124" s="117">
        <f t="shared" si="85"/>
        <v>156019.1</v>
      </c>
      <c r="P124" s="117">
        <f>+P125</f>
        <v>748509.4</v>
      </c>
      <c r="Q124" s="117">
        <f>+Q125</f>
        <v>176386.53</v>
      </c>
      <c r="R124" s="117">
        <f t="shared" ref="R124:U124" si="86">+R125</f>
        <v>0</v>
      </c>
      <c r="S124" s="117">
        <f t="shared" si="86"/>
        <v>0</v>
      </c>
      <c r="T124" s="117">
        <f t="shared" si="86"/>
        <v>0</v>
      </c>
      <c r="U124" s="117">
        <f t="shared" si="86"/>
        <v>3552809.4499999997</v>
      </c>
      <c r="V124" s="142"/>
    </row>
    <row r="125" spans="2:23" hidden="1" x14ac:dyDescent="0.25">
      <c r="B125" t="s">
        <v>262</v>
      </c>
      <c r="C125" s="117">
        <v>4800000</v>
      </c>
      <c r="D125" s="117">
        <v>400000</v>
      </c>
      <c r="E125" s="117" t="s">
        <v>263</v>
      </c>
      <c r="F125" s="117"/>
      <c r="G125" s="117">
        <v>4800000</v>
      </c>
      <c r="H125" s="25">
        <v>162174.39999999999</v>
      </c>
      <c r="I125" s="25">
        <v>217334.98</v>
      </c>
      <c r="J125" s="25">
        <v>62997.840000000004</v>
      </c>
      <c r="K125" s="25">
        <v>1003953.8</v>
      </c>
      <c r="L125" s="117">
        <f>+'[1]REVISIÓN MAYO 2025'!$C$100</f>
        <v>300778.96999999997</v>
      </c>
      <c r="M125" s="117">
        <v>422412.05</v>
      </c>
      <c r="N125" s="117">
        <v>302242.38</v>
      </c>
      <c r="O125" s="74">
        <v>156019.1</v>
      </c>
      <c r="P125" s="26">
        <v>748509.4</v>
      </c>
      <c r="Q125" s="73">
        <v>176386.53</v>
      </c>
      <c r="R125" s="26"/>
      <c r="S125" s="26"/>
      <c r="T125" s="74"/>
      <c r="U125" s="25">
        <f>SUM(H125:T125)</f>
        <v>3552809.4499999997</v>
      </c>
      <c r="V125" s="142"/>
    </row>
    <row r="126" spans="2:23" hidden="1" x14ac:dyDescent="0.25">
      <c r="B126" t="s">
        <v>264</v>
      </c>
      <c r="C126" s="117">
        <f>+C127</f>
        <v>923000</v>
      </c>
      <c r="D126" s="117"/>
      <c r="E126" s="117"/>
      <c r="F126" s="117"/>
      <c r="G126" s="117">
        <f t="shared" ref="G126:U126" si="87">+G127</f>
        <v>923000</v>
      </c>
      <c r="H126" s="117">
        <f t="shared" si="87"/>
        <v>8024</v>
      </c>
      <c r="I126" s="117">
        <f t="shared" si="87"/>
        <v>8024</v>
      </c>
      <c r="J126" s="117">
        <f t="shared" si="87"/>
        <v>0</v>
      </c>
      <c r="K126" s="117">
        <f t="shared" si="87"/>
        <v>0</v>
      </c>
      <c r="L126" s="117">
        <f t="shared" si="87"/>
        <v>154580</v>
      </c>
      <c r="M126" s="117">
        <f t="shared" si="87"/>
        <v>2360</v>
      </c>
      <c r="N126" s="117">
        <f t="shared" si="87"/>
        <v>0</v>
      </c>
      <c r="O126" s="117">
        <f t="shared" si="87"/>
        <v>16166</v>
      </c>
      <c r="P126" s="117">
        <f t="shared" si="87"/>
        <v>8024</v>
      </c>
      <c r="Q126" s="117">
        <f t="shared" si="87"/>
        <v>0</v>
      </c>
      <c r="R126" s="117">
        <f t="shared" si="87"/>
        <v>0</v>
      </c>
      <c r="S126" s="117">
        <f t="shared" si="87"/>
        <v>0</v>
      </c>
      <c r="T126" s="117">
        <f t="shared" si="87"/>
        <v>0</v>
      </c>
      <c r="U126" s="117">
        <f t="shared" si="87"/>
        <v>197178</v>
      </c>
      <c r="V126" s="142"/>
    </row>
    <row r="127" spans="2:23" hidden="1" x14ac:dyDescent="0.25">
      <c r="B127" t="s">
        <v>265</v>
      </c>
      <c r="C127" s="117">
        <v>923000</v>
      </c>
      <c r="D127" s="117">
        <v>76916.666666666672</v>
      </c>
      <c r="E127" s="117" t="s">
        <v>266</v>
      </c>
      <c r="F127" s="117"/>
      <c r="G127" s="117">
        <v>923000</v>
      </c>
      <c r="H127" s="25">
        <v>8024</v>
      </c>
      <c r="I127" s="25">
        <v>8024</v>
      </c>
      <c r="J127" s="25"/>
      <c r="K127" s="78"/>
      <c r="L127" s="117">
        <f>+'[1]REVISIÓN MAYO 2025'!$C$101</f>
        <v>154580</v>
      </c>
      <c r="M127" s="117">
        <v>2360</v>
      </c>
      <c r="N127" s="117"/>
      <c r="O127" s="74">
        <v>16166</v>
      </c>
      <c r="P127" s="26">
        <v>8024</v>
      </c>
      <c r="Q127" s="26"/>
      <c r="R127" s="26"/>
      <c r="S127" s="26"/>
      <c r="T127" s="74"/>
      <c r="U127" s="25">
        <f>SUM(H127:T127)</f>
        <v>197178</v>
      </c>
      <c r="V127" s="142"/>
      <c r="W127" s="64"/>
    </row>
    <row r="128" spans="2:23" hidden="1" x14ac:dyDescent="0.25">
      <c r="B128" t="s">
        <v>267</v>
      </c>
      <c r="C128" s="117">
        <f>+C129</f>
        <v>1300000</v>
      </c>
      <c r="D128" s="117"/>
      <c r="E128" s="117"/>
      <c r="F128" s="117"/>
      <c r="G128" s="117">
        <f t="shared" ref="G128:U128" si="88">+G129</f>
        <v>1300000</v>
      </c>
      <c r="H128" s="117">
        <f t="shared" si="88"/>
        <v>0</v>
      </c>
      <c r="I128" s="117">
        <f t="shared" si="88"/>
        <v>143200</v>
      </c>
      <c r="J128" s="117">
        <f t="shared" si="88"/>
        <v>32000</v>
      </c>
      <c r="K128" s="117">
        <f t="shared" si="88"/>
        <v>2685000</v>
      </c>
      <c r="L128" s="117">
        <f t="shared" si="88"/>
        <v>10578.73</v>
      </c>
      <c r="M128" s="117">
        <f t="shared" si="88"/>
        <v>0</v>
      </c>
      <c r="N128" s="117">
        <f t="shared" si="88"/>
        <v>0</v>
      </c>
      <c r="O128" s="117">
        <f t="shared" si="88"/>
        <v>0</v>
      </c>
      <c r="P128" s="117">
        <f t="shared" si="88"/>
        <v>0</v>
      </c>
      <c r="Q128" s="117">
        <f t="shared" si="88"/>
        <v>7360.05</v>
      </c>
      <c r="R128" s="117">
        <f t="shared" si="88"/>
        <v>0</v>
      </c>
      <c r="S128" s="117">
        <f t="shared" si="88"/>
        <v>0</v>
      </c>
      <c r="T128" s="117">
        <f t="shared" si="88"/>
        <v>0</v>
      </c>
      <c r="U128" s="117">
        <f t="shared" si="88"/>
        <v>2878138.78</v>
      </c>
      <c r="V128" s="142"/>
      <c r="W128" s="64"/>
    </row>
    <row r="129" spans="2:23" hidden="1" x14ac:dyDescent="0.25">
      <c r="B129" t="s">
        <v>268</v>
      </c>
      <c r="C129" s="117">
        <v>1300000</v>
      </c>
      <c r="D129" s="117">
        <v>108333.33333333333</v>
      </c>
      <c r="E129" s="117"/>
      <c r="F129" s="117"/>
      <c r="G129" s="117">
        <v>1300000</v>
      </c>
      <c r="H129" s="117"/>
      <c r="I129" s="25">
        <v>143200</v>
      </c>
      <c r="J129" s="25">
        <v>32000</v>
      </c>
      <c r="K129" s="78">
        <v>2685000</v>
      </c>
      <c r="L129" s="117">
        <f>+'[1]REVISIÓN MAYO 2025'!$C$102</f>
        <v>10578.73</v>
      </c>
      <c r="M129" s="117"/>
      <c r="N129" s="117"/>
      <c r="O129" s="74"/>
      <c r="P129" s="117"/>
      <c r="Q129" s="102">
        <v>7360.05</v>
      </c>
      <c r="R129" s="117"/>
      <c r="S129" s="117"/>
      <c r="T129" s="74"/>
      <c r="U129" s="25">
        <f>SUM(H129:T129)</f>
        <v>2878138.78</v>
      </c>
      <c r="V129" s="142"/>
    </row>
    <row r="130" spans="2:23" x14ac:dyDescent="0.25">
      <c r="B130" t="s">
        <v>269</v>
      </c>
      <c r="C130" s="117">
        <f>+C131</f>
        <v>10000000</v>
      </c>
      <c r="D130" s="117">
        <v>833333.33333333337</v>
      </c>
      <c r="E130" s="117"/>
      <c r="F130" s="117"/>
      <c r="G130" s="117">
        <f t="shared" ref="G130:U131" si="89">+G131</f>
        <v>10000000</v>
      </c>
      <c r="H130" s="117">
        <f t="shared" si="89"/>
        <v>0</v>
      </c>
      <c r="I130" s="117">
        <f t="shared" si="89"/>
        <v>18319.5</v>
      </c>
      <c r="J130" s="117">
        <f t="shared" si="89"/>
        <v>0</v>
      </c>
      <c r="K130" s="117">
        <f t="shared" si="89"/>
        <v>4660.63</v>
      </c>
      <c r="L130" s="117">
        <f t="shared" si="89"/>
        <v>579817.63</v>
      </c>
      <c r="M130" s="117">
        <f t="shared" si="89"/>
        <v>0</v>
      </c>
      <c r="N130" s="117">
        <f t="shared" si="89"/>
        <v>0</v>
      </c>
      <c r="O130" s="117">
        <f t="shared" si="89"/>
        <v>0</v>
      </c>
      <c r="P130" s="117">
        <f t="shared" si="89"/>
        <v>0</v>
      </c>
      <c r="Q130" s="117">
        <f t="shared" si="89"/>
        <v>666233.30000000005</v>
      </c>
      <c r="R130" s="117">
        <f t="shared" si="89"/>
        <v>0</v>
      </c>
      <c r="S130" s="117">
        <f t="shared" si="89"/>
        <v>0</v>
      </c>
      <c r="T130" s="117">
        <f t="shared" si="89"/>
        <v>0</v>
      </c>
      <c r="U130" s="117">
        <f t="shared" si="89"/>
        <v>1269031.06</v>
      </c>
      <c r="V130" s="142"/>
      <c r="W130" s="64"/>
    </row>
    <row r="131" spans="2:23" hidden="1" x14ac:dyDescent="0.25">
      <c r="B131" t="s">
        <v>270</v>
      </c>
      <c r="C131" s="117">
        <f>+C132</f>
        <v>10000000</v>
      </c>
      <c r="D131" s="117"/>
      <c r="E131" s="117"/>
      <c r="F131" s="117"/>
      <c r="G131" s="117">
        <f t="shared" si="89"/>
        <v>10000000</v>
      </c>
      <c r="H131" s="117">
        <f t="shared" si="89"/>
        <v>0</v>
      </c>
      <c r="I131" s="117">
        <f t="shared" si="89"/>
        <v>18319.5</v>
      </c>
      <c r="J131" s="117">
        <f t="shared" si="89"/>
        <v>0</v>
      </c>
      <c r="K131" s="117">
        <f t="shared" si="89"/>
        <v>4660.63</v>
      </c>
      <c r="L131" s="117">
        <f t="shared" si="89"/>
        <v>579817.63</v>
      </c>
      <c r="M131" s="117">
        <f t="shared" si="89"/>
        <v>0</v>
      </c>
      <c r="N131" s="117">
        <f t="shared" si="89"/>
        <v>0</v>
      </c>
      <c r="O131" s="117">
        <f t="shared" si="89"/>
        <v>0</v>
      </c>
      <c r="P131" s="117">
        <f t="shared" si="89"/>
        <v>0</v>
      </c>
      <c r="Q131" s="117">
        <f t="shared" si="89"/>
        <v>666233.30000000005</v>
      </c>
      <c r="R131" s="117">
        <f t="shared" si="89"/>
        <v>0</v>
      </c>
      <c r="S131" s="117">
        <f t="shared" si="89"/>
        <v>0</v>
      </c>
      <c r="T131" s="117">
        <f t="shared" si="89"/>
        <v>0</v>
      </c>
      <c r="U131" s="117">
        <f t="shared" si="89"/>
        <v>1269031.06</v>
      </c>
      <c r="V131" s="142"/>
      <c r="W131" s="64"/>
    </row>
    <row r="132" spans="2:23" hidden="1" x14ac:dyDescent="0.25">
      <c r="B132" t="s">
        <v>271</v>
      </c>
      <c r="C132" s="117">
        <v>10000000</v>
      </c>
      <c r="D132" s="117">
        <v>833333.33333333337</v>
      </c>
      <c r="E132" s="117"/>
      <c r="F132" s="117"/>
      <c r="G132" s="117">
        <v>10000000</v>
      </c>
      <c r="H132" s="117"/>
      <c r="I132" s="25">
        <v>18319.5</v>
      </c>
      <c r="J132" s="25"/>
      <c r="K132" s="25">
        <v>4660.63</v>
      </c>
      <c r="L132" s="117">
        <f>+'[1]REVISIÓN MAYO 2025'!$C$104</f>
        <v>579817.63</v>
      </c>
      <c r="M132" s="117"/>
      <c r="N132" s="117"/>
      <c r="O132" s="117"/>
      <c r="P132" s="117"/>
      <c r="Q132" s="102">
        <v>666233.30000000005</v>
      </c>
      <c r="R132" s="117"/>
      <c r="S132" s="117"/>
      <c r="T132" s="117"/>
      <c r="U132" s="25">
        <f>SUM(H132:T132)</f>
        <v>1269031.06</v>
      </c>
      <c r="V132" s="142"/>
    </row>
    <row r="133" spans="2:23" hidden="1" x14ac:dyDescent="0.25">
      <c r="B133" s="16" t="s">
        <v>272</v>
      </c>
      <c r="C133" s="30">
        <f>+C134+C136+C138</f>
        <v>10600000</v>
      </c>
      <c r="D133" s="117">
        <v>883333.33333333349</v>
      </c>
      <c r="E133" s="117"/>
      <c r="F133" s="117"/>
      <c r="G133" s="30">
        <f t="shared" ref="G133:U133" si="90">+G134+G136+G138</f>
        <v>10600000</v>
      </c>
      <c r="H133" s="30">
        <f t="shared" si="90"/>
        <v>92711.87</v>
      </c>
      <c r="I133" s="30">
        <f t="shared" si="90"/>
        <v>633111.13</v>
      </c>
      <c r="J133" s="30">
        <f t="shared" si="90"/>
        <v>110437.64</v>
      </c>
      <c r="K133" s="30">
        <f t="shared" si="90"/>
        <v>337088.64</v>
      </c>
      <c r="L133" s="30">
        <f t="shared" si="90"/>
        <v>730250.92</v>
      </c>
      <c r="M133" s="30">
        <f t="shared" si="90"/>
        <v>543683.12</v>
      </c>
      <c r="N133" s="30">
        <f t="shared" si="90"/>
        <v>102144.97</v>
      </c>
      <c r="O133" s="30">
        <f t="shared" si="90"/>
        <v>230448.22</v>
      </c>
      <c r="P133" s="30">
        <f t="shared" si="90"/>
        <v>459194.88</v>
      </c>
      <c r="Q133" s="30">
        <f t="shared" si="90"/>
        <v>345954.26</v>
      </c>
      <c r="R133" s="30">
        <f t="shared" si="90"/>
        <v>0</v>
      </c>
      <c r="S133" s="30">
        <f t="shared" si="90"/>
        <v>0</v>
      </c>
      <c r="T133" s="30">
        <f t="shared" si="90"/>
        <v>0</v>
      </c>
      <c r="U133" s="30">
        <f t="shared" si="90"/>
        <v>3585025.65</v>
      </c>
      <c r="V133" s="142"/>
    </row>
    <row r="134" spans="2:23" hidden="1" x14ac:dyDescent="0.25">
      <c r="B134" s="16" t="s">
        <v>273</v>
      </c>
      <c r="C134" s="30">
        <f>+C135</f>
        <v>600000</v>
      </c>
      <c r="D134" s="117"/>
      <c r="E134" s="117"/>
      <c r="F134" s="117"/>
      <c r="G134" s="30">
        <f t="shared" ref="G134:U134" si="91">+G135</f>
        <v>600000</v>
      </c>
      <c r="H134" s="30">
        <f t="shared" si="91"/>
        <v>0</v>
      </c>
      <c r="I134" s="30">
        <f t="shared" si="91"/>
        <v>0</v>
      </c>
      <c r="J134" s="30">
        <f t="shared" si="91"/>
        <v>0</v>
      </c>
      <c r="K134" s="30">
        <f t="shared" si="91"/>
        <v>0</v>
      </c>
      <c r="L134" s="30">
        <f t="shared" si="91"/>
        <v>0</v>
      </c>
      <c r="M134" s="30">
        <f t="shared" si="91"/>
        <v>0</v>
      </c>
      <c r="N134" s="30">
        <f t="shared" si="91"/>
        <v>0</v>
      </c>
      <c r="O134" s="30">
        <f t="shared" si="91"/>
        <v>0</v>
      </c>
      <c r="P134" s="30">
        <f t="shared" si="91"/>
        <v>0</v>
      </c>
      <c r="Q134" s="30">
        <f t="shared" si="91"/>
        <v>0</v>
      </c>
      <c r="R134" s="30">
        <f t="shared" si="91"/>
        <v>0</v>
      </c>
      <c r="S134" s="30">
        <f t="shared" si="91"/>
        <v>0</v>
      </c>
      <c r="T134" s="30">
        <f t="shared" si="91"/>
        <v>0</v>
      </c>
      <c r="U134" s="30">
        <f t="shared" si="91"/>
        <v>0</v>
      </c>
      <c r="V134" s="142"/>
    </row>
    <row r="135" spans="2:23" hidden="1" x14ac:dyDescent="0.25">
      <c r="B135" t="s">
        <v>274</v>
      </c>
      <c r="C135" s="117">
        <v>600000</v>
      </c>
      <c r="D135" s="117">
        <v>50000</v>
      </c>
      <c r="E135" s="117"/>
      <c r="F135" s="117"/>
      <c r="G135" s="117">
        <v>600000</v>
      </c>
      <c r="H135" s="117"/>
      <c r="I135" s="117"/>
      <c r="J135" s="117"/>
      <c r="K135" s="117"/>
      <c r="L135" s="117"/>
      <c r="M135" s="117"/>
      <c r="N135" s="117"/>
      <c r="O135" s="117"/>
      <c r="P135" s="117"/>
      <c r="Q135" s="117"/>
      <c r="R135" s="117"/>
      <c r="S135" s="117"/>
      <c r="T135" s="117"/>
      <c r="U135" s="25">
        <f>SUM(H135:T135)</f>
        <v>0</v>
      </c>
      <c r="V135" s="142"/>
      <c r="W135" s="64"/>
    </row>
    <row r="136" spans="2:23" hidden="1" x14ac:dyDescent="0.25">
      <c r="B136" t="s">
        <v>275</v>
      </c>
      <c r="C136" s="117">
        <f>+C137</f>
        <v>5000000</v>
      </c>
      <c r="D136" s="117"/>
      <c r="E136" s="117"/>
      <c r="F136" s="117"/>
      <c r="G136" s="117">
        <f t="shared" ref="G136:U136" si="92">+G137</f>
        <v>5000000</v>
      </c>
      <c r="H136" s="117">
        <f t="shared" si="92"/>
        <v>0</v>
      </c>
      <c r="I136" s="117">
        <f t="shared" si="92"/>
        <v>412409.91000000003</v>
      </c>
      <c r="J136" s="117">
        <f t="shared" si="92"/>
        <v>103757.72</v>
      </c>
      <c r="K136" s="117">
        <f t="shared" si="92"/>
        <v>212586.32</v>
      </c>
      <c r="L136" s="117">
        <f t="shared" si="92"/>
        <v>472480.5</v>
      </c>
      <c r="M136" s="117">
        <f t="shared" si="92"/>
        <v>259460.05</v>
      </c>
      <c r="N136" s="117">
        <f t="shared" si="92"/>
        <v>33400.04</v>
      </c>
      <c r="O136" s="117">
        <f t="shared" si="92"/>
        <v>177800.01</v>
      </c>
      <c r="P136" s="117">
        <f t="shared" si="92"/>
        <v>441523.68</v>
      </c>
      <c r="Q136" s="117">
        <f t="shared" si="92"/>
        <v>304400.03999999998</v>
      </c>
      <c r="R136" s="117">
        <f t="shared" si="92"/>
        <v>0</v>
      </c>
      <c r="S136" s="117">
        <f t="shared" si="92"/>
        <v>0</v>
      </c>
      <c r="T136" s="117">
        <f t="shared" si="92"/>
        <v>0</v>
      </c>
      <c r="U136" s="117">
        <f t="shared" si="92"/>
        <v>2417818.27</v>
      </c>
      <c r="V136" s="142"/>
      <c r="W136" s="64"/>
    </row>
    <row r="137" spans="2:23" ht="12.75" hidden="1" customHeight="1" x14ac:dyDescent="0.25">
      <c r="B137" t="s">
        <v>276</v>
      </c>
      <c r="C137" s="117">
        <v>5000000</v>
      </c>
      <c r="D137" s="117">
        <v>416666.66666666669</v>
      </c>
      <c r="E137" s="117"/>
      <c r="F137" s="117"/>
      <c r="G137" s="117">
        <v>5000000</v>
      </c>
      <c r="H137" s="117"/>
      <c r="I137" s="25">
        <v>412409.91000000003</v>
      </c>
      <c r="J137" s="25">
        <v>103757.72</v>
      </c>
      <c r="K137" s="25">
        <v>212586.32</v>
      </c>
      <c r="L137" s="117">
        <f>+'[1]REVISIÓN MAYO 2025'!$C$106</f>
        <v>472480.5</v>
      </c>
      <c r="M137" s="117">
        <v>259460.05</v>
      </c>
      <c r="N137" s="117">
        <v>33400.04</v>
      </c>
      <c r="O137" s="74">
        <v>177800.01</v>
      </c>
      <c r="P137" s="26">
        <v>441523.68</v>
      </c>
      <c r="Q137" s="73">
        <v>304400.03999999998</v>
      </c>
      <c r="R137" s="26"/>
      <c r="S137" s="26"/>
      <c r="T137" s="74"/>
      <c r="U137" s="25">
        <f>SUM(H137:T137)</f>
        <v>2417818.27</v>
      </c>
      <c r="V137" s="142"/>
      <c r="W137" s="64"/>
    </row>
    <row r="138" spans="2:23" ht="22.5" hidden="1" customHeight="1" x14ac:dyDescent="0.25">
      <c r="B138" t="s">
        <v>277</v>
      </c>
      <c r="C138" s="117">
        <f>+C139</f>
        <v>5000000.0000000009</v>
      </c>
      <c r="D138" s="117"/>
      <c r="E138" s="117"/>
      <c r="F138" s="117"/>
      <c r="G138" s="117">
        <f t="shared" ref="G138:U138" si="93">+G139</f>
        <v>5000000.0000000009</v>
      </c>
      <c r="H138" s="117">
        <f t="shared" si="93"/>
        <v>92711.87</v>
      </c>
      <c r="I138" s="117">
        <f t="shared" si="93"/>
        <v>220701.22</v>
      </c>
      <c r="J138" s="117">
        <f t="shared" si="93"/>
        <v>6679.92</v>
      </c>
      <c r="K138" s="117">
        <f t="shared" si="93"/>
        <v>124502.32</v>
      </c>
      <c r="L138" s="117">
        <f t="shared" si="93"/>
        <v>257770.42</v>
      </c>
      <c r="M138" s="117">
        <f t="shared" si="93"/>
        <v>284223.07</v>
      </c>
      <c r="N138" s="117">
        <f t="shared" si="93"/>
        <v>68744.929999999993</v>
      </c>
      <c r="O138" s="117">
        <f t="shared" si="93"/>
        <v>52648.21</v>
      </c>
      <c r="P138" s="117">
        <f t="shared" si="93"/>
        <v>17671.2</v>
      </c>
      <c r="Q138" s="117">
        <f t="shared" si="93"/>
        <v>41554.22</v>
      </c>
      <c r="R138" s="117">
        <f t="shared" si="93"/>
        <v>0</v>
      </c>
      <c r="S138" s="117">
        <f t="shared" si="93"/>
        <v>0</v>
      </c>
      <c r="T138" s="117">
        <f t="shared" si="93"/>
        <v>0</v>
      </c>
      <c r="U138" s="117">
        <f t="shared" si="93"/>
        <v>1167207.3799999999</v>
      </c>
      <c r="V138" s="142"/>
      <c r="W138" s="64"/>
    </row>
    <row r="139" spans="2:23" hidden="1" x14ac:dyDescent="0.25">
      <c r="B139" t="s">
        <v>278</v>
      </c>
      <c r="C139" s="117">
        <v>5000000.0000000009</v>
      </c>
      <c r="D139" s="117">
        <v>416666.66666666674</v>
      </c>
      <c r="E139" s="117" t="s">
        <v>279</v>
      </c>
      <c r="F139" s="117"/>
      <c r="G139" s="117">
        <v>5000000.0000000009</v>
      </c>
      <c r="H139" s="25">
        <v>92711.87</v>
      </c>
      <c r="I139" s="25">
        <v>220701.22</v>
      </c>
      <c r="J139" s="25">
        <v>6679.92</v>
      </c>
      <c r="K139" s="25">
        <v>124502.32</v>
      </c>
      <c r="L139" s="117">
        <f>+'[1]REVISIÓN MAYO 2025'!$C$110</f>
        <v>257770.42</v>
      </c>
      <c r="M139" s="117">
        <v>284223.07</v>
      </c>
      <c r="N139" s="74">
        <v>68744.929999999993</v>
      </c>
      <c r="O139" s="74">
        <v>52648.21</v>
      </c>
      <c r="P139" s="26">
        <f>16271.2+1400</f>
        <v>17671.2</v>
      </c>
      <c r="Q139" s="73">
        <v>41554.22</v>
      </c>
      <c r="R139" s="26"/>
      <c r="S139" s="26"/>
      <c r="T139" s="74"/>
      <c r="U139" s="25">
        <f>SUM(H139:T139)</f>
        <v>1167207.3799999999</v>
      </c>
      <c r="V139" s="142"/>
    </row>
    <row r="140" spans="2:23" x14ac:dyDescent="0.25">
      <c r="B140" s="16" t="s">
        <v>41</v>
      </c>
      <c r="C140" s="110">
        <f>+C141+C143+C145</f>
        <v>1330747.0000000002</v>
      </c>
      <c r="D140" s="117">
        <v>110895.58333333336</v>
      </c>
      <c r="E140" s="117"/>
      <c r="F140" s="117"/>
      <c r="G140" s="110">
        <f t="shared" ref="G140:U140" si="94">+G141+G143+G145</f>
        <v>1330747.0000000002</v>
      </c>
      <c r="H140" s="110">
        <f t="shared" si="94"/>
        <v>128416.26</v>
      </c>
      <c r="I140" s="110">
        <f t="shared" si="94"/>
        <v>98758.819999999992</v>
      </c>
      <c r="J140" s="110">
        <f t="shared" si="94"/>
        <v>264669.02</v>
      </c>
      <c r="K140" s="110">
        <f t="shared" si="94"/>
        <v>48571.5</v>
      </c>
      <c r="L140" s="110">
        <f t="shared" si="94"/>
        <v>236336.91</v>
      </c>
      <c r="M140" s="110">
        <f t="shared" si="94"/>
        <v>694975.23</v>
      </c>
      <c r="N140" s="110">
        <f t="shared" si="94"/>
        <v>93959.1</v>
      </c>
      <c r="O140" s="110">
        <f t="shared" si="94"/>
        <v>37389.120000000003</v>
      </c>
      <c r="P140" s="110">
        <f t="shared" si="94"/>
        <v>106237.79000000001</v>
      </c>
      <c r="Q140" s="110">
        <f t="shared" si="94"/>
        <v>163869.16</v>
      </c>
      <c r="R140" s="110">
        <f t="shared" si="94"/>
        <v>0</v>
      </c>
      <c r="S140" s="110">
        <f t="shared" si="94"/>
        <v>0</v>
      </c>
      <c r="T140" s="110">
        <f t="shared" si="94"/>
        <v>0</v>
      </c>
      <c r="U140" s="110">
        <f t="shared" si="94"/>
        <v>1873182.9100000001</v>
      </c>
      <c r="V140" s="142"/>
      <c r="W140" s="64"/>
    </row>
    <row r="141" spans="2:23" hidden="1" x14ac:dyDescent="0.25">
      <c r="B141" s="16" t="s">
        <v>280</v>
      </c>
      <c r="C141" s="110">
        <f>+C142</f>
        <v>230747</v>
      </c>
      <c r="D141" s="117"/>
      <c r="E141" s="117"/>
      <c r="F141" s="117"/>
      <c r="G141" s="110">
        <f t="shared" ref="G141:U141" si="95">+G142</f>
        <v>230747</v>
      </c>
      <c r="H141" s="110">
        <f t="shared" si="95"/>
        <v>0</v>
      </c>
      <c r="I141" s="110">
        <f t="shared" si="95"/>
        <v>2100</v>
      </c>
      <c r="J141" s="110">
        <f t="shared" si="95"/>
        <v>988</v>
      </c>
      <c r="K141" s="110">
        <f t="shared" si="95"/>
        <v>9203</v>
      </c>
      <c r="L141" s="110">
        <f t="shared" si="95"/>
        <v>55224</v>
      </c>
      <c r="M141" s="110">
        <f t="shared" si="95"/>
        <v>2693.76</v>
      </c>
      <c r="N141" s="110">
        <f t="shared" si="95"/>
        <v>22729</v>
      </c>
      <c r="O141" s="110">
        <f t="shared" si="95"/>
        <v>1958.8</v>
      </c>
      <c r="P141" s="110">
        <f t="shared" si="95"/>
        <v>3600</v>
      </c>
      <c r="Q141" s="110">
        <f t="shared" si="95"/>
        <v>4010</v>
      </c>
      <c r="R141" s="110">
        <f t="shared" si="95"/>
        <v>0</v>
      </c>
      <c r="S141" s="110">
        <f t="shared" si="95"/>
        <v>0</v>
      </c>
      <c r="T141" s="110">
        <f t="shared" si="95"/>
        <v>0</v>
      </c>
      <c r="U141" s="110">
        <f t="shared" si="95"/>
        <v>102506.56</v>
      </c>
      <c r="V141" s="142"/>
      <c r="W141" s="64"/>
    </row>
    <row r="142" spans="2:23" hidden="1" x14ac:dyDescent="0.25">
      <c r="B142" t="s">
        <v>281</v>
      </c>
      <c r="C142" s="117">
        <v>230747</v>
      </c>
      <c r="D142" s="117">
        <v>19228.916666666668</v>
      </c>
      <c r="E142" s="117"/>
      <c r="F142" s="117"/>
      <c r="G142" s="117">
        <v>230747</v>
      </c>
      <c r="H142" s="117"/>
      <c r="I142" s="25">
        <v>2100</v>
      </c>
      <c r="J142" s="25">
        <v>988</v>
      </c>
      <c r="K142" s="25">
        <v>9203</v>
      </c>
      <c r="L142" s="117">
        <f>+'[1]REVISIÓN MAYO 2025'!$C$114</f>
        <v>55224</v>
      </c>
      <c r="M142" s="117">
        <v>2693.76</v>
      </c>
      <c r="N142" s="74">
        <v>22729</v>
      </c>
      <c r="O142" s="74">
        <v>1958.8</v>
      </c>
      <c r="P142" s="26">
        <v>3600</v>
      </c>
      <c r="Q142" s="73">
        <v>4010</v>
      </c>
      <c r="R142" s="26"/>
      <c r="S142" s="26"/>
      <c r="T142" s="74"/>
      <c r="U142" s="25">
        <f>SUM(H142:T142)</f>
        <v>102506.56</v>
      </c>
      <c r="V142" s="142"/>
      <c r="W142" s="64"/>
    </row>
    <row r="143" spans="2:23" hidden="1" x14ac:dyDescent="0.25">
      <c r="B143" t="s">
        <v>282</v>
      </c>
      <c r="C143" s="117">
        <f>+C144</f>
        <v>100000</v>
      </c>
      <c r="D143" s="117"/>
      <c r="E143" s="117"/>
      <c r="F143" s="117"/>
      <c r="G143" s="117">
        <f t="shared" ref="G143:U143" si="96">+G144</f>
        <v>100000</v>
      </c>
      <c r="H143" s="117">
        <f t="shared" si="96"/>
        <v>179.95000000000002</v>
      </c>
      <c r="I143" s="117">
        <f t="shared" si="96"/>
        <v>999.98</v>
      </c>
      <c r="J143" s="117">
        <f t="shared" si="96"/>
        <v>0</v>
      </c>
      <c r="K143" s="117">
        <f t="shared" si="96"/>
        <v>569</v>
      </c>
      <c r="L143" s="117">
        <f t="shared" si="96"/>
        <v>0</v>
      </c>
      <c r="M143" s="117">
        <f t="shared" si="96"/>
        <v>173932</v>
      </c>
      <c r="N143" s="117">
        <f t="shared" si="96"/>
        <v>0</v>
      </c>
      <c r="O143" s="117">
        <f t="shared" si="96"/>
        <v>0</v>
      </c>
      <c r="P143" s="117">
        <f t="shared" si="96"/>
        <v>89385</v>
      </c>
      <c r="Q143" s="117">
        <f t="shared" si="96"/>
        <v>21448</v>
      </c>
      <c r="R143" s="117">
        <f t="shared" si="96"/>
        <v>0</v>
      </c>
      <c r="S143" s="117">
        <f t="shared" si="96"/>
        <v>0</v>
      </c>
      <c r="T143" s="117">
        <f t="shared" si="96"/>
        <v>0</v>
      </c>
      <c r="U143" s="117">
        <f t="shared" si="96"/>
        <v>286513.93</v>
      </c>
      <c r="V143" s="142"/>
      <c r="W143" s="64"/>
    </row>
    <row r="144" spans="2:23" hidden="1" x14ac:dyDescent="0.25">
      <c r="B144" t="s">
        <v>283</v>
      </c>
      <c r="C144" s="117">
        <v>100000</v>
      </c>
      <c r="D144" s="117">
        <v>8333.3333333333339</v>
      </c>
      <c r="E144" s="117" t="s">
        <v>284</v>
      </c>
      <c r="F144" s="117"/>
      <c r="G144" s="117">
        <v>100000</v>
      </c>
      <c r="H144" s="25">
        <v>179.95000000000002</v>
      </c>
      <c r="I144" s="25">
        <v>999.98</v>
      </c>
      <c r="J144" s="25"/>
      <c r="K144" s="25">
        <v>569</v>
      </c>
      <c r="L144" s="117"/>
      <c r="M144" s="117">
        <v>173932</v>
      </c>
      <c r="N144" s="74"/>
      <c r="O144" s="74"/>
      <c r="P144" s="26">
        <v>89385</v>
      </c>
      <c r="Q144" s="73">
        <v>21448</v>
      </c>
      <c r="R144" s="26"/>
      <c r="S144" s="26"/>
      <c r="T144" s="74"/>
      <c r="U144" s="25">
        <f>SUM(H144:T144)</f>
        <v>286513.93</v>
      </c>
      <c r="V144" s="142"/>
      <c r="W144" s="64"/>
    </row>
    <row r="145" spans="2:23" hidden="1" x14ac:dyDescent="0.25">
      <c r="B145" t="s">
        <v>285</v>
      </c>
      <c r="C145" s="117">
        <f>+C146</f>
        <v>1000000.0000000002</v>
      </c>
      <c r="D145" s="117"/>
      <c r="E145" s="117"/>
      <c r="F145" s="117"/>
      <c r="G145" s="117">
        <f t="shared" ref="G145:U145" si="97">+G146</f>
        <v>1000000.0000000002</v>
      </c>
      <c r="H145" s="117">
        <f t="shared" si="97"/>
        <v>128236.31</v>
      </c>
      <c r="I145" s="117">
        <f t="shared" si="97"/>
        <v>95658.84</v>
      </c>
      <c r="J145" s="117">
        <f t="shared" si="97"/>
        <v>263681.02</v>
      </c>
      <c r="K145" s="117">
        <f t="shared" si="97"/>
        <v>38799.5</v>
      </c>
      <c r="L145" s="117">
        <f t="shared" si="97"/>
        <v>181112.91</v>
      </c>
      <c r="M145" s="117">
        <f t="shared" si="97"/>
        <v>518349.47</v>
      </c>
      <c r="N145" s="117">
        <f t="shared" si="97"/>
        <v>71230.100000000006</v>
      </c>
      <c r="O145" s="117">
        <f t="shared" si="97"/>
        <v>35430.32</v>
      </c>
      <c r="P145" s="117">
        <f t="shared" si="97"/>
        <v>13252.79</v>
      </c>
      <c r="Q145" s="117">
        <f>+Q146</f>
        <v>138411.16</v>
      </c>
      <c r="R145" s="117">
        <f t="shared" si="97"/>
        <v>0</v>
      </c>
      <c r="S145" s="117">
        <f t="shared" si="97"/>
        <v>0</v>
      </c>
      <c r="T145" s="117">
        <f t="shared" si="97"/>
        <v>0</v>
      </c>
      <c r="U145" s="117">
        <f t="shared" si="97"/>
        <v>1484162.4200000002</v>
      </c>
      <c r="V145" s="142"/>
      <c r="W145" s="64"/>
    </row>
    <row r="146" spans="2:23" hidden="1" x14ac:dyDescent="0.25">
      <c r="B146" t="s">
        <v>286</v>
      </c>
      <c r="C146" s="117">
        <v>1000000.0000000002</v>
      </c>
      <c r="D146" s="117">
        <v>83333.333333333358</v>
      </c>
      <c r="E146" s="117" t="s">
        <v>287</v>
      </c>
      <c r="F146" s="117"/>
      <c r="G146" s="117">
        <v>1000000.0000000002</v>
      </c>
      <c r="H146" s="25">
        <v>128236.31</v>
      </c>
      <c r="I146" s="25">
        <v>95658.84</v>
      </c>
      <c r="J146" s="25">
        <v>263681.02</v>
      </c>
      <c r="K146" s="25">
        <v>38799.5</v>
      </c>
      <c r="L146" s="117">
        <f>+'[1]REVISIÓN MAYO 2025'!$C$118</f>
        <v>181112.91</v>
      </c>
      <c r="M146" s="117">
        <v>518349.47</v>
      </c>
      <c r="N146" s="74">
        <v>71230.100000000006</v>
      </c>
      <c r="O146" s="74">
        <v>35430.32</v>
      </c>
      <c r="P146" s="26">
        <v>13252.79</v>
      </c>
      <c r="Q146" s="73">
        <v>138411.16</v>
      </c>
      <c r="R146" s="26"/>
      <c r="S146" s="26"/>
      <c r="T146" s="74"/>
      <c r="U146" s="25">
        <f>SUM(H146:T146)</f>
        <v>1484162.4200000002</v>
      </c>
      <c r="V146" s="142"/>
    </row>
    <row r="147" spans="2:23" ht="30" x14ac:dyDescent="0.25">
      <c r="B147" s="20" t="s">
        <v>42</v>
      </c>
      <c r="C147" s="110">
        <f>+C148+C152</f>
        <v>113480750.00000001</v>
      </c>
      <c r="D147" s="117">
        <v>9456729.1666666679</v>
      </c>
      <c r="E147" s="117"/>
      <c r="F147" s="117"/>
      <c r="G147" s="110">
        <f t="shared" ref="G147:O147" si="98">+G148+G152</f>
        <v>113480750.00000001</v>
      </c>
      <c r="H147" s="110">
        <f t="shared" si="98"/>
        <v>8823346.9600000009</v>
      </c>
      <c r="I147" s="110">
        <f t="shared" si="98"/>
        <v>9424583.540000001</v>
      </c>
      <c r="J147" s="110">
        <f t="shared" si="98"/>
        <v>8842874.6500000004</v>
      </c>
      <c r="K147" s="110">
        <f t="shared" si="98"/>
        <v>9414367.4199999999</v>
      </c>
      <c r="L147" s="110">
        <f t="shared" si="98"/>
        <v>8851472.6399999987</v>
      </c>
      <c r="M147" s="110">
        <f t="shared" si="98"/>
        <v>9805319.0899999999</v>
      </c>
      <c r="N147" s="110">
        <f t="shared" si="98"/>
        <v>9170022.5600000005</v>
      </c>
      <c r="O147" s="110">
        <f t="shared" si="98"/>
        <v>8849184.459999999</v>
      </c>
      <c r="P147" s="110">
        <f>+P148+P152</f>
        <v>9071795.8599999994</v>
      </c>
      <c r="Q147" s="110">
        <f>+Q148+Q152</f>
        <v>9194263.7300000004</v>
      </c>
      <c r="R147" s="110">
        <f t="shared" ref="R147:U147" si="99">+R148+R152</f>
        <v>0</v>
      </c>
      <c r="S147" s="110">
        <f t="shared" si="99"/>
        <v>0</v>
      </c>
      <c r="T147" s="110">
        <f t="shared" si="99"/>
        <v>0</v>
      </c>
      <c r="U147" s="110">
        <f t="shared" si="99"/>
        <v>91447230.909999996</v>
      </c>
      <c r="V147" s="142"/>
      <c r="W147" s="64"/>
    </row>
    <row r="148" spans="2:23" hidden="1" x14ac:dyDescent="0.25">
      <c r="B148" s="16" t="s">
        <v>288</v>
      </c>
      <c r="C148" s="110">
        <f>+C149</f>
        <v>110700750.00000001</v>
      </c>
      <c r="D148" s="117"/>
      <c r="E148" s="117"/>
      <c r="F148" s="117"/>
      <c r="G148" s="110">
        <f t="shared" ref="G148:P148" si="100">+G149</f>
        <v>110700750.00000001</v>
      </c>
      <c r="H148" s="110">
        <f t="shared" si="100"/>
        <v>8815262.1500000004</v>
      </c>
      <c r="I148" s="110">
        <f t="shared" si="100"/>
        <v>8921869.7300000004</v>
      </c>
      <c r="J148" s="110">
        <f t="shared" si="100"/>
        <v>8754519.6500000004</v>
      </c>
      <c r="K148" s="110">
        <f t="shared" si="100"/>
        <v>9277545.5399999991</v>
      </c>
      <c r="L148" s="110">
        <f t="shared" si="100"/>
        <v>8751374.5199999996</v>
      </c>
      <c r="M148" s="110">
        <f t="shared" si="100"/>
        <v>8947385.7300000004</v>
      </c>
      <c r="N148" s="110">
        <f t="shared" si="100"/>
        <v>8859614.4199999999</v>
      </c>
      <c r="O148" s="110">
        <f t="shared" si="100"/>
        <v>8830202.7899999991</v>
      </c>
      <c r="P148" s="110">
        <f t="shared" si="100"/>
        <v>8842548.5399999991</v>
      </c>
      <c r="Q148" s="110">
        <f>SUM(Q149:Q151)</f>
        <v>8866533.0600000005</v>
      </c>
      <c r="R148" s="110">
        <f t="shared" ref="R148:U148" si="101">+R149</f>
        <v>0</v>
      </c>
      <c r="S148" s="110">
        <f t="shared" si="101"/>
        <v>0</v>
      </c>
      <c r="T148" s="110">
        <f t="shared" si="101"/>
        <v>0</v>
      </c>
      <c r="U148" s="110">
        <f t="shared" si="101"/>
        <v>88866856.129999995</v>
      </c>
      <c r="V148" s="142"/>
      <c r="W148" s="64"/>
    </row>
    <row r="149" spans="2:23" ht="17.25" hidden="1" customHeight="1" thickBot="1" x14ac:dyDescent="0.3">
      <c r="B149" t="s">
        <v>289</v>
      </c>
      <c r="C149" s="117">
        <v>110700750.00000001</v>
      </c>
      <c r="D149" s="117">
        <v>9225062.5000000019</v>
      </c>
      <c r="E149" s="117" t="s">
        <v>290</v>
      </c>
      <c r="F149" s="117"/>
      <c r="G149" s="117">
        <v>110700750.00000001</v>
      </c>
      <c r="H149" s="25">
        <v>8815262.1500000004</v>
      </c>
      <c r="I149" s="25">
        <v>8921869.7300000004</v>
      </c>
      <c r="J149" s="25">
        <v>8754519.6500000004</v>
      </c>
      <c r="K149" s="25">
        <f>8918895.54+358650</f>
        <v>9277545.5399999991</v>
      </c>
      <c r="L149" s="117">
        <f>+'[1]REVISIÓN MAYO 2025'!$C$121</f>
        <v>8751374.5199999996</v>
      </c>
      <c r="M149" s="139">
        <v>8947385.7300000004</v>
      </c>
      <c r="N149" s="74">
        <v>8859614.4199999999</v>
      </c>
      <c r="O149" s="74">
        <v>8830202.7899999991</v>
      </c>
      <c r="P149" s="26">
        <v>8842548.5399999991</v>
      </c>
      <c r="Q149" s="117">
        <v>8866533.0600000005</v>
      </c>
      <c r="R149" s="26"/>
      <c r="S149" s="26"/>
      <c r="T149" s="74"/>
      <c r="U149" s="25">
        <f>SUM(H149:T149)</f>
        <v>88866856.129999995</v>
      </c>
      <c r="V149" s="142"/>
      <c r="W149" s="64"/>
    </row>
    <row r="150" spans="2:23" ht="13.5" hidden="1" customHeight="1" thickBot="1" x14ac:dyDescent="0.3">
      <c r="B150" s="90" t="s">
        <v>291</v>
      </c>
      <c r="C150" s="117">
        <v>0</v>
      </c>
      <c r="D150" s="117">
        <v>0</v>
      </c>
      <c r="E150" s="117"/>
      <c r="F150" s="117"/>
      <c r="G150" s="117">
        <v>0</v>
      </c>
      <c r="H150" s="117"/>
      <c r="I150" s="117"/>
      <c r="J150" s="117"/>
      <c r="K150" s="25"/>
      <c r="L150" s="117"/>
      <c r="M150" s="117"/>
      <c r="N150" s="117"/>
      <c r="O150" s="117"/>
      <c r="P150" s="117"/>
      <c r="Q150" s="117"/>
      <c r="R150" s="117"/>
      <c r="S150" s="117"/>
      <c r="T150" s="117"/>
      <c r="U150" s="25">
        <f>SUM(H150:T150)</f>
        <v>0</v>
      </c>
      <c r="V150" s="142"/>
      <c r="W150" s="64"/>
    </row>
    <row r="151" spans="2:23" hidden="1" x14ac:dyDescent="0.25">
      <c r="B151" t="s">
        <v>292</v>
      </c>
      <c r="C151" s="117">
        <v>0</v>
      </c>
      <c r="D151" s="117">
        <v>0</v>
      </c>
      <c r="E151" s="117"/>
      <c r="F151" s="117"/>
      <c r="G151" s="117">
        <v>0</v>
      </c>
      <c r="H151" s="117"/>
      <c r="I151" s="117"/>
      <c r="J151" s="117"/>
      <c r="K151" s="117"/>
      <c r="L151" s="117"/>
      <c r="M151" s="117"/>
      <c r="N151" s="117"/>
      <c r="O151" s="117"/>
      <c r="P151" s="117"/>
      <c r="Q151" s="117"/>
      <c r="R151" s="117"/>
      <c r="S151" s="117"/>
      <c r="T151" s="117"/>
      <c r="U151" s="25">
        <f>SUM(H151:T151)</f>
        <v>0</v>
      </c>
      <c r="V151" s="142"/>
      <c r="W151" s="52"/>
    </row>
    <row r="152" spans="2:23" hidden="1" x14ac:dyDescent="0.25">
      <c r="B152" t="s">
        <v>293</v>
      </c>
      <c r="C152" s="117">
        <f>+C153+C154</f>
        <v>2780000</v>
      </c>
      <c r="D152" s="117"/>
      <c r="E152" s="117"/>
      <c r="F152" s="117"/>
      <c r="G152" s="117">
        <f t="shared" ref="G152:U152" si="102">+G153+G154</f>
        <v>2780000</v>
      </c>
      <c r="H152" s="117">
        <f t="shared" si="102"/>
        <v>8084.81</v>
      </c>
      <c r="I152" s="117">
        <f t="shared" si="102"/>
        <v>502713.81</v>
      </c>
      <c r="J152" s="117">
        <f t="shared" si="102"/>
        <v>88355</v>
      </c>
      <c r="K152" s="117">
        <f t="shared" si="102"/>
        <v>136821.88</v>
      </c>
      <c r="L152" s="117">
        <f t="shared" si="102"/>
        <v>100098.12</v>
      </c>
      <c r="M152" s="117">
        <f t="shared" si="102"/>
        <v>857933.36</v>
      </c>
      <c r="N152" s="117">
        <f t="shared" si="102"/>
        <v>310408.14</v>
      </c>
      <c r="O152" s="117">
        <f t="shared" si="102"/>
        <v>18981.669999999998</v>
      </c>
      <c r="P152" s="117">
        <f t="shared" si="102"/>
        <v>229247.32</v>
      </c>
      <c r="Q152" s="117">
        <f t="shared" si="102"/>
        <v>327730.67</v>
      </c>
      <c r="R152" s="117">
        <f t="shared" si="102"/>
        <v>0</v>
      </c>
      <c r="S152" s="117">
        <f t="shared" si="102"/>
        <v>0</v>
      </c>
      <c r="T152" s="117">
        <f t="shared" si="102"/>
        <v>0</v>
      </c>
      <c r="U152" s="117">
        <f t="shared" si="102"/>
        <v>2580374.7799999998</v>
      </c>
      <c r="V152" s="142"/>
      <c r="W152" s="52"/>
    </row>
    <row r="153" spans="2:23" hidden="1" x14ac:dyDescent="0.25">
      <c r="B153" s="90" t="s">
        <v>294</v>
      </c>
      <c r="C153" s="117">
        <v>1370000</v>
      </c>
      <c r="D153" s="117">
        <v>114166.66666666667</v>
      </c>
      <c r="E153" s="117" t="s">
        <v>295</v>
      </c>
      <c r="F153" s="117"/>
      <c r="G153" s="117">
        <v>1370000</v>
      </c>
      <c r="H153" s="25">
        <v>8084.81</v>
      </c>
      <c r="I153" s="25">
        <v>502713.81</v>
      </c>
      <c r="J153" s="25">
        <v>88355</v>
      </c>
      <c r="K153" s="25">
        <v>136821.88</v>
      </c>
      <c r="L153" s="117">
        <f>+'[1]REVISIÓN MAYO 2025'!$C$127</f>
        <v>100098.12</v>
      </c>
      <c r="M153" s="117">
        <v>857933.36</v>
      </c>
      <c r="N153" s="117">
        <v>310408.14</v>
      </c>
      <c r="O153" s="117">
        <v>18981.669999999998</v>
      </c>
      <c r="P153" s="26">
        <v>229247.32</v>
      </c>
      <c r="Q153" s="102">
        <v>327730.67</v>
      </c>
      <c r="R153" s="26"/>
      <c r="S153" s="26"/>
      <c r="T153" s="117"/>
      <c r="U153" s="25">
        <f>SUM(H153:T153)</f>
        <v>2580374.7799999998</v>
      </c>
      <c r="V153" s="142"/>
    </row>
    <row r="154" spans="2:23" hidden="1" x14ac:dyDescent="0.25">
      <c r="B154" t="s">
        <v>296</v>
      </c>
      <c r="C154" s="117">
        <v>1410000</v>
      </c>
      <c r="D154" s="117">
        <v>117500</v>
      </c>
      <c r="E154" s="117"/>
      <c r="F154" s="117"/>
      <c r="G154" s="117">
        <v>1410000</v>
      </c>
      <c r="H154" s="117"/>
      <c r="I154" s="117"/>
      <c r="J154" s="117"/>
      <c r="K154" s="117"/>
      <c r="L154" s="117"/>
      <c r="M154" s="117"/>
      <c r="N154" s="117"/>
      <c r="O154" s="117"/>
      <c r="P154" s="117"/>
      <c r="Q154" s="117"/>
      <c r="R154" s="117"/>
      <c r="S154" s="117"/>
      <c r="T154" s="117"/>
      <c r="U154" s="25">
        <f>SUM(H154:T154)</f>
        <v>0</v>
      </c>
      <c r="V154" s="142"/>
    </row>
    <row r="155" spans="2:23" ht="15.75" thickBot="1" x14ac:dyDescent="0.3">
      <c r="B155" s="16" t="s">
        <v>44</v>
      </c>
      <c r="C155" s="110">
        <f>+C156+C158+C160+C162+C164</f>
        <v>25600000</v>
      </c>
      <c r="D155" s="117">
        <v>2133333.3333333335</v>
      </c>
      <c r="E155" s="117"/>
      <c r="F155" s="117"/>
      <c r="G155" s="110">
        <f t="shared" ref="G155:P155" si="103">+G156+G158+G160+G162+G164</f>
        <v>25600000</v>
      </c>
      <c r="H155" s="110">
        <f t="shared" si="103"/>
        <v>524838.51</v>
      </c>
      <c r="I155" s="110">
        <f t="shared" si="103"/>
        <v>3225604.22</v>
      </c>
      <c r="J155" s="110">
        <f t="shared" si="103"/>
        <v>947889.37000000011</v>
      </c>
      <c r="K155" s="110">
        <f t="shared" si="103"/>
        <v>934326.15</v>
      </c>
      <c r="L155" s="110">
        <f t="shared" si="103"/>
        <v>2111042.5499999998</v>
      </c>
      <c r="M155" s="110">
        <f t="shared" si="103"/>
        <v>2877381.01</v>
      </c>
      <c r="N155" s="110">
        <f t="shared" si="103"/>
        <v>2146322.66</v>
      </c>
      <c r="O155" s="110">
        <f t="shared" si="103"/>
        <v>3019314.5</v>
      </c>
      <c r="P155" s="110">
        <f t="shared" si="103"/>
        <v>1625534.44</v>
      </c>
      <c r="Q155" s="110">
        <f>+Q156+Q158+Q160+Q162+Q164</f>
        <v>5770058.919999999</v>
      </c>
      <c r="R155" s="110">
        <f t="shared" ref="R155:U155" si="104">+R156+R158+R160+R162+R164</f>
        <v>0</v>
      </c>
      <c r="S155" s="110">
        <f t="shared" si="104"/>
        <v>0</v>
      </c>
      <c r="T155" s="110">
        <f t="shared" si="104"/>
        <v>0</v>
      </c>
      <c r="U155" s="110">
        <f t="shared" si="104"/>
        <v>23182312.329999998</v>
      </c>
      <c r="V155" s="142"/>
      <c r="W155" s="64"/>
    </row>
    <row r="156" spans="2:23" ht="15.75" hidden="1" thickBot="1" x14ac:dyDescent="0.3">
      <c r="B156" s="19" t="s">
        <v>297</v>
      </c>
      <c r="C156" s="88">
        <f>+C157</f>
        <v>6600000</v>
      </c>
      <c r="D156" s="76"/>
      <c r="E156" s="76"/>
      <c r="F156" s="76"/>
      <c r="G156" s="88">
        <f t="shared" ref="G156:U156" si="105">+G157</f>
        <v>6600000</v>
      </c>
      <c r="H156" s="88">
        <f t="shared" si="105"/>
        <v>109933.4</v>
      </c>
      <c r="I156" s="88">
        <f t="shared" si="105"/>
        <v>894902.9</v>
      </c>
      <c r="J156" s="88">
        <f t="shared" si="105"/>
        <v>345783.02</v>
      </c>
      <c r="K156" s="88">
        <f t="shared" si="105"/>
        <v>567231.1</v>
      </c>
      <c r="L156" s="88">
        <f t="shared" si="105"/>
        <v>162061.20000000001</v>
      </c>
      <c r="M156" s="88">
        <f t="shared" si="105"/>
        <v>1044653.16</v>
      </c>
      <c r="N156" s="88">
        <f t="shared" si="105"/>
        <v>1095429.43</v>
      </c>
      <c r="O156" s="88">
        <f t="shared" si="105"/>
        <v>85921.290000000008</v>
      </c>
      <c r="P156" s="88">
        <f t="shared" si="105"/>
        <v>374862.4</v>
      </c>
      <c r="Q156" s="88">
        <f t="shared" si="105"/>
        <v>731305</v>
      </c>
      <c r="R156" s="88">
        <f t="shared" si="105"/>
        <v>0</v>
      </c>
      <c r="S156" s="88">
        <f t="shared" si="105"/>
        <v>0</v>
      </c>
      <c r="T156" s="88">
        <f t="shared" si="105"/>
        <v>0</v>
      </c>
      <c r="U156" s="88">
        <f t="shared" si="105"/>
        <v>5412082.9000000004</v>
      </c>
      <c r="W156" s="64"/>
    </row>
    <row r="157" spans="2:23" ht="15.75" hidden="1" thickBot="1" x14ac:dyDescent="0.3">
      <c r="B157" t="s">
        <v>298</v>
      </c>
      <c r="C157" s="13">
        <v>6600000</v>
      </c>
      <c r="D157" s="13">
        <v>550000</v>
      </c>
      <c r="E157" s="13" t="s">
        <v>299</v>
      </c>
      <c r="F157" s="13"/>
      <c r="G157" s="13">
        <v>6600000</v>
      </c>
      <c r="H157" s="25">
        <v>109933.4</v>
      </c>
      <c r="I157" s="25">
        <v>894902.9</v>
      </c>
      <c r="J157" s="25">
        <v>345783.02</v>
      </c>
      <c r="K157" s="25">
        <f>412451.6+154779.5</f>
        <v>567231.1</v>
      </c>
      <c r="L157" s="13">
        <f>+'[1]REVISIÓN MAYO 2025'!$C$134</f>
        <v>162061.20000000001</v>
      </c>
      <c r="M157" s="25">
        <v>1044653.16</v>
      </c>
      <c r="N157" s="13">
        <v>1095429.43</v>
      </c>
      <c r="O157" s="74">
        <v>85921.290000000008</v>
      </c>
      <c r="P157" s="26">
        <v>374862.4</v>
      </c>
      <c r="Q157" s="104">
        <v>731305</v>
      </c>
      <c r="R157" s="26"/>
      <c r="S157" s="26"/>
      <c r="T157" s="74"/>
      <c r="U157" s="25">
        <f>SUM(H157:T157)</f>
        <v>5412082.9000000004</v>
      </c>
      <c r="W157" s="64"/>
    </row>
    <row r="158" spans="2:23" ht="30.75" hidden="1" thickBot="1" x14ac:dyDescent="0.3">
      <c r="B158" s="105" t="s">
        <v>300</v>
      </c>
      <c r="C158" s="76">
        <f>+C159</f>
        <v>12000000</v>
      </c>
      <c r="E158" s="13"/>
      <c r="F158" s="13"/>
      <c r="G158" s="76">
        <f>+G159</f>
        <v>12000000</v>
      </c>
      <c r="H158" s="76">
        <f t="shared" ref="H158:U158" si="106">+H159</f>
        <v>319995.5</v>
      </c>
      <c r="I158" s="76">
        <f t="shared" si="106"/>
        <v>2140706.16</v>
      </c>
      <c r="J158" s="76">
        <f t="shared" si="106"/>
        <v>550261.30000000005</v>
      </c>
      <c r="K158" s="76">
        <f t="shared" si="106"/>
        <v>241172.99</v>
      </c>
      <c r="L158" s="76">
        <f t="shared" si="106"/>
        <v>1660377.89</v>
      </c>
      <c r="M158" s="76">
        <f t="shared" si="106"/>
        <v>834462.13</v>
      </c>
      <c r="N158" s="76">
        <f t="shared" si="106"/>
        <v>206845.3</v>
      </c>
      <c r="O158" s="76">
        <f t="shared" si="106"/>
        <v>1299943.6599999999</v>
      </c>
      <c r="P158" s="76">
        <f t="shared" si="106"/>
        <v>206706.68</v>
      </c>
      <c r="Q158" s="76">
        <f t="shared" si="106"/>
        <v>2545414.2799999998</v>
      </c>
      <c r="R158" s="76">
        <f t="shared" si="106"/>
        <v>0</v>
      </c>
      <c r="S158" s="76">
        <f t="shared" si="106"/>
        <v>0</v>
      </c>
      <c r="T158" s="76">
        <f t="shared" si="106"/>
        <v>0</v>
      </c>
      <c r="U158" s="76">
        <f t="shared" si="106"/>
        <v>10005885.889999999</v>
      </c>
      <c r="W158" s="64"/>
    </row>
    <row r="159" spans="2:23" ht="18" hidden="1" customHeight="1" thickBot="1" x14ac:dyDescent="0.3">
      <c r="B159" t="s">
        <v>301</v>
      </c>
      <c r="C159" s="13">
        <v>12000000</v>
      </c>
      <c r="D159" s="13">
        <v>1000000</v>
      </c>
      <c r="E159" s="13" t="s">
        <v>302</v>
      </c>
      <c r="F159" s="13"/>
      <c r="G159" s="13">
        <v>12000000</v>
      </c>
      <c r="H159" s="25">
        <v>319995.5</v>
      </c>
      <c r="I159" s="25">
        <v>2140706.16</v>
      </c>
      <c r="J159" s="25">
        <v>550261.30000000005</v>
      </c>
      <c r="K159" s="25">
        <v>241172.99</v>
      </c>
      <c r="L159" s="13">
        <f>+'[1]REVISIÓN MAYO 2025'!$C$137</f>
        <v>1660377.89</v>
      </c>
      <c r="M159" s="25">
        <v>834462.13</v>
      </c>
      <c r="N159" s="13">
        <v>206845.3</v>
      </c>
      <c r="O159" s="74">
        <v>1299943.6599999999</v>
      </c>
      <c r="P159" s="26">
        <v>206706.68</v>
      </c>
      <c r="Q159" s="73">
        <f>2543762.28+1652</f>
        <v>2545414.2799999998</v>
      </c>
      <c r="R159" s="26"/>
      <c r="S159" s="26"/>
      <c r="T159" s="74"/>
      <c r="U159" s="25">
        <f>SUM(H159:T159)</f>
        <v>10005885.889999999</v>
      </c>
    </row>
    <row r="160" spans="2:23" ht="15.75" hidden="1" thickBot="1" x14ac:dyDescent="0.3">
      <c r="B160" s="87" t="s">
        <v>303</v>
      </c>
      <c r="C160" s="76">
        <f>+C161</f>
        <v>1500000</v>
      </c>
      <c r="D160" s="13">
        <v>0</v>
      </c>
      <c r="E160" s="13"/>
      <c r="F160" s="13"/>
      <c r="G160" s="76">
        <f t="shared" ref="G160:U160" si="107">+G161</f>
        <v>1500000</v>
      </c>
      <c r="H160" s="76">
        <f t="shared" si="107"/>
        <v>2000</v>
      </c>
      <c r="I160" s="76">
        <f t="shared" si="107"/>
        <v>5480</v>
      </c>
      <c r="J160" s="76">
        <f t="shared" si="107"/>
        <v>0</v>
      </c>
      <c r="K160" s="76">
        <f t="shared" si="107"/>
        <v>56495</v>
      </c>
      <c r="L160" s="76">
        <f t="shared" si="107"/>
        <v>8565.33</v>
      </c>
      <c r="M160" s="76">
        <f t="shared" si="107"/>
        <v>71058</v>
      </c>
      <c r="N160" s="76">
        <f t="shared" si="107"/>
        <v>81615</v>
      </c>
      <c r="O160" s="76">
        <f t="shared" si="107"/>
        <v>70322.53</v>
      </c>
      <c r="P160" s="76">
        <f t="shared" si="107"/>
        <v>6574</v>
      </c>
      <c r="Q160" s="76">
        <f t="shared" si="107"/>
        <v>53596.17</v>
      </c>
      <c r="R160" s="76">
        <f t="shared" si="107"/>
        <v>0</v>
      </c>
      <c r="S160" s="76">
        <f t="shared" si="107"/>
        <v>0</v>
      </c>
      <c r="T160" s="76">
        <f t="shared" si="107"/>
        <v>0</v>
      </c>
      <c r="U160" s="76">
        <f t="shared" si="107"/>
        <v>355706.02999999997</v>
      </c>
      <c r="W160" s="64"/>
    </row>
    <row r="161" spans="1:23" ht="15.75" hidden="1" thickBot="1" x14ac:dyDescent="0.3">
      <c r="B161" t="s">
        <v>304</v>
      </c>
      <c r="C161" s="13">
        <v>1500000</v>
      </c>
      <c r="D161" s="13">
        <v>125000</v>
      </c>
      <c r="E161" s="13" t="s">
        <v>305</v>
      </c>
      <c r="F161" s="13"/>
      <c r="G161" s="13">
        <v>1500000</v>
      </c>
      <c r="H161" s="25">
        <v>2000</v>
      </c>
      <c r="I161" s="25">
        <v>5480</v>
      </c>
      <c r="J161" s="25"/>
      <c r="K161" s="25">
        <v>56495</v>
      </c>
      <c r="L161" s="13">
        <f>+'[1]REVISIÓN MAYO 2025'!$C$142</f>
        <v>8565.33</v>
      </c>
      <c r="M161" s="13">
        <v>71058</v>
      </c>
      <c r="N161" s="13">
        <v>81615</v>
      </c>
      <c r="O161" s="74">
        <v>70322.53</v>
      </c>
      <c r="P161" s="26">
        <v>6574</v>
      </c>
      <c r="Q161" s="73">
        <v>53596.17</v>
      </c>
      <c r="R161" s="26"/>
      <c r="S161" s="26"/>
      <c r="T161" s="74"/>
      <c r="U161" s="25">
        <f>SUM(H161:T161)</f>
        <v>355706.02999999997</v>
      </c>
      <c r="W161" s="64"/>
    </row>
    <row r="162" spans="1:23" ht="15.75" hidden="1" thickBot="1" x14ac:dyDescent="0.3">
      <c r="B162" s="87" t="s">
        <v>306</v>
      </c>
      <c r="C162" s="76">
        <f>+C163</f>
        <v>4000000.0000000009</v>
      </c>
      <c r="E162" s="13"/>
      <c r="F162" s="13"/>
      <c r="G162" s="76">
        <f>+G163</f>
        <v>4000000.0000000009</v>
      </c>
      <c r="H162" s="76">
        <f t="shared" ref="H162:U162" si="108">+H163</f>
        <v>83115.61</v>
      </c>
      <c r="I162" s="76">
        <f t="shared" si="108"/>
        <v>110629.46</v>
      </c>
      <c r="J162" s="76">
        <f t="shared" si="108"/>
        <v>51845.05</v>
      </c>
      <c r="K162" s="76">
        <f t="shared" si="108"/>
        <v>17920.060000000001</v>
      </c>
      <c r="L162" s="76">
        <f t="shared" si="108"/>
        <v>280038.13</v>
      </c>
      <c r="M162" s="76">
        <f t="shared" si="108"/>
        <v>897176.72</v>
      </c>
      <c r="N162" s="76">
        <f t="shared" si="108"/>
        <v>761154.19</v>
      </c>
      <c r="O162" s="76">
        <f t="shared" si="108"/>
        <v>1487135.83</v>
      </c>
      <c r="P162" s="76">
        <f t="shared" si="108"/>
        <v>21095</v>
      </c>
      <c r="Q162" s="76">
        <f t="shared" si="108"/>
        <v>2212226.84</v>
      </c>
      <c r="R162" s="76">
        <f t="shared" si="108"/>
        <v>0</v>
      </c>
      <c r="S162" s="76">
        <f t="shared" si="108"/>
        <v>0</v>
      </c>
      <c r="T162" s="76">
        <f t="shared" si="108"/>
        <v>0</v>
      </c>
      <c r="U162" s="76">
        <f t="shared" si="108"/>
        <v>5922336.8899999997</v>
      </c>
      <c r="W162" s="64"/>
    </row>
    <row r="163" spans="1:23" ht="15.75" hidden="1" thickBot="1" x14ac:dyDescent="0.3">
      <c r="B163" t="s">
        <v>307</v>
      </c>
      <c r="C163" s="13">
        <v>4000000.0000000009</v>
      </c>
      <c r="D163" s="13">
        <v>333333.33333333343</v>
      </c>
      <c r="E163" s="13" t="s">
        <v>308</v>
      </c>
      <c r="F163" s="13"/>
      <c r="G163" s="13">
        <v>4000000.0000000009</v>
      </c>
      <c r="H163" s="25">
        <v>83115.61</v>
      </c>
      <c r="I163" s="25">
        <v>110629.46</v>
      </c>
      <c r="J163" s="25">
        <v>51845.05</v>
      </c>
      <c r="K163" s="25">
        <v>17920.060000000001</v>
      </c>
      <c r="L163" s="13">
        <f>+'[1]REVISIÓN MAYO 2025'!$C$143</f>
        <v>280038.13</v>
      </c>
      <c r="M163" s="13">
        <v>897176.72</v>
      </c>
      <c r="N163" s="13">
        <v>761154.19</v>
      </c>
      <c r="O163" s="74">
        <v>1487135.83</v>
      </c>
      <c r="P163" s="26">
        <v>21095</v>
      </c>
      <c r="Q163" s="73">
        <f>2173050.84+39176</f>
        <v>2212226.84</v>
      </c>
      <c r="R163" s="26"/>
      <c r="S163" s="26"/>
      <c r="T163" s="74"/>
      <c r="U163" s="25">
        <f>SUM(H163:T163)</f>
        <v>5922336.8899999997</v>
      </c>
      <c r="V163" s="13"/>
      <c r="W163" s="64"/>
    </row>
    <row r="164" spans="1:23" ht="15.75" hidden="1" thickBot="1" x14ac:dyDescent="0.3">
      <c r="B164" s="87" t="s">
        <v>309</v>
      </c>
      <c r="C164" s="76">
        <f>+C165</f>
        <v>1500000</v>
      </c>
      <c r="E164" s="13"/>
      <c r="F164" s="13"/>
      <c r="G164" s="76">
        <f t="shared" ref="G164:U164" si="109">+G165</f>
        <v>1500000</v>
      </c>
      <c r="H164" s="76">
        <f t="shared" si="109"/>
        <v>9794</v>
      </c>
      <c r="I164" s="76">
        <f t="shared" si="109"/>
        <v>73885.7</v>
      </c>
      <c r="J164" s="76">
        <f t="shared" si="109"/>
        <v>0</v>
      </c>
      <c r="K164" s="76">
        <f t="shared" si="109"/>
        <v>51507</v>
      </c>
      <c r="L164" s="76">
        <f t="shared" si="109"/>
        <v>0</v>
      </c>
      <c r="M164" s="76">
        <f t="shared" si="109"/>
        <v>30031</v>
      </c>
      <c r="N164" s="76">
        <f t="shared" si="109"/>
        <v>1278.74</v>
      </c>
      <c r="O164" s="76">
        <f t="shared" si="109"/>
        <v>75991.19</v>
      </c>
      <c r="P164" s="76">
        <f t="shared" si="109"/>
        <v>1016296.36</v>
      </c>
      <c r="Q164" s="76">
        <f t="shared" si="109"/>
        <v>227516.63</v>
      </c>
      <c r="R164" s="76">
        <f t="shared" si="109"/>
        <v>0</v>
      </c>
      <c r="S164" s="76">
        <f t="shared" si="109"/>
        <v>0</v>
      </c>
      <c r="T164" s="76">
        <f t="shared" si="109"/>
        <v>0</v>
      </c>
      <c r="U164" s="76">
        <f t="shared" si="109"/>
        <v>1486300.62</v>
      </c>
      <c r="V164" s="13"/>
      <c r="W164" s="64"/>
    </row>
    <row r="165" spans="1:23" ht="15.75" hidden="1" thickBot="1" x14ac:dyDescent="0.3">
      <c r="B165" t="s">
        <v>310</v>
      </c>
      <c r="C165" s="13">
        <v>1500000</v>
      </c>
      <c r="D165" s="13">
        <v>125000</v>
      </c>
      <c r="E165" s="13" t="s">
        <v>311</v>
      </c>
      <c r="F165" s="13"/>
      <c r="G165" s="13">
        <v>1500000</v>
      </c>
      <c r="H165" s="25">
        <v>9794</v>
      </c>
      <c r="I165" s="25">
        <v>73885.7</v>
      </c>
      <c r="J165" s="25"/>
      <c r="K165" s="25">
        <v>51507</v>
      </c>
      <c r="L165" s="13"/>
      <c r="M165" s="13">
        <v>30031</v>
      </c>
      <c r="N165" s="13">
        <v>1278.74</v>
      </c>
      <c r="O165" s="74">
        <v>75991.19</v>
      </c>
      <c r="P165" s="26">
        <v>1016296.36</v>
      </c>
      <c r="Q165" s="106">
        <v>227516.63</v>
      </c>
      <c r="R165" s="26"/>
      <c r="S165" s="26"/>
      <c r="T165" s="74"/>
      <c r="U165" s="25">
        <f>SUM(H165:T165)</f>
        <v>1486300.62</v>
      </c>
      <c r="W165" s="64"/>
    </row>
    <row r="166" spans="1:23" ht="15.75" thickBot="1" x14ac:dyDescent="0.3">
      <c r="A166" s="84"/>
      <c r="B166" s="85" t="s">
        <v>312</v>
      </c>
      <c r="C166" s="62">
        <f>+C167+C174+C179+C182+C187+C196+C199+C203</f>
        <v>168905200</v>
      </c>
      <c r="D166" s="62">
        <v>14075433.333333332</v>
      </c>
      <c r="E166" s="62" t="s">
        <v>313</v>
      </c>
      <c r="F166" s="62"/>
      <c r="G166" s="62">
        <f>+G167+G174+G179+G182+G187+G196+G199+G203+G172+G177</f>
        <v>168905200</v>
      </c>
      <c r="H166" s="63">
        <f>+H167+H174+H179+H182+H187+H196+H199+H203</f>
        <v>1799778.48</v>
      </c>
      <c r="I166" s="63">
        <f>+I167+I174+I179+I182+I187+I196+I199+I203</f>
        <v>1745057.71</v>
      </c>
      <c r="J166" s="63">
        <f t="shared" ref="J166" si="110">+J167+J174+J179+J182+J187+J196+J199+J203</f>
        <v>209284.2</v>
      </c>
      <c r="K166" s="63">
        <f>+K167+K174+K179+K182+K187+K196+K199+K203</f>
        <v>1498996.3</v>
      </c>
      <c r="L166" s="62">
        <f>+L167+L174+L1+L19482+L182+L187+L196+L199+L203+L179</f>
        <v>1560577.57</v>
      </c>
      <c r="M166" s="62">
        <f>+M167+M174+M1+M19482+M182+M187+M196+M199+M203+M179</f>
        <v>1165660.0900000001</v>
      </c>
      <c r="N166" s="62">
        <f>+N167+N174+N1+N19482+N182+N187+N196+N199+N203+N179</f>
        <v>4361424.1000000006</v>
      </c>
      <c r="O166" s="62">
        <f>+O167+O174+O1+O19482+O182+O187+O196+O199+O203+O179</f>
        <v>1974911.5399999998</v>
      </c>
      <c r="P166" s="62">
        <f>+P167+P174+P1+P19482+P182+P187+P196+P199+P203+P179</f>
        <v>552586.89</v>
      </c>
      <c r="Q166" s="62">
        <f>+Q167+Q174+Q179+Q182+Q187+Q196+Q199+Q203+Q172+Q177</f>
        <v>437951</v>
      </c>
      <c r="R166" s="62">
        <f>+R167+R174+R1+R19482+R182+R187+R196+R199+R203+R179</f>
        <v>0</v>
      </c>
      <c r="S166" s="62">
        <f>+S167+S174+S1+S19482+S182+S187+S196+S199+S203+S179</f>
        <v>0</v>
      </c>
      <c r="T166" s="62">
        <f>+T167+T174+T1+T19482+T182+T187+T196+T199+T203+T179</f>
        <v>0</v>
      </c>
      <c r="U166" s="62">
        <f>+U167+U174+U1+U19482+U182+U187+U196+U199+U203+U179</f>
        <v>12288407.950000001</v>
      </c>
      <c r="W166" s="52"/>
    </row>
    <row r="167" spans="1:23" x14ac:dyDescent="0.25">
      <c r="B167" s="16" t="s">
        <v>62</v>
      </c>
      <c r="C167" s="110">
        <f>+C168+C170+C172</f>
        <v>35000000</v>
      </c>
      <c r="D167" s="117">
        <v>2916666.666666667</v>
      </c>
      <c r="E167" s="117"/>
      <c r="F167" s="117"/>
      <c r="G167" s="110">
        <f>+G168+G172</f>
        <v>25000000</v>
      </c>
      <c r="H167" s="117">
        <f>SUM(H169:H173)</f>
        <v>1799778.48</v>
      </c>
      <c r="I167" s="117">
        <f t="shared" ref="I167:N167" si="111">+I168+I172</f>
        <v>735744.16</v>
      </c>
      <c r="J167" s="117">
        <f t="shared" si="111"/>
        <v>209284.2</v>
      </c>
      <c r="K167" s="117">
        <f t="shared" si="111"/>
        <v>1270513.6200000001</v>
      </c>
      <c r="L167" s="110">
        <f t="shared" si="111"/>
        <v>168036.6</v>
      </c>
      <c r="M167" s="110">
        <f t="shared" si="111"/>
        <v>617193.33000000007</v>
      </c>
      <c r="N167" s="110">
        <f t="shared" si="111"/>
        <v>4241499.1000000006</v>
      </c>
      <c r="O167" s="110">
        <f t="shared" ref="O167:P167" si="112">+O168+O172</f>
        <v>1886429.2399999998</v>
      </c>
      <c r="P167" s="110">
        <f t="shared" si="112"/>
        <v>506389.89</v>
      </c>
      <c r="Q167" s="110">
        <f>+Q168+Q172</f>
        <v>0</v>
      </c>
      <c r="R167" s="110">
        <f t="shared" ref="R167:U167" si="113">+R168+R172</f>
        <v>0</v>
      </c>
      <c r="S167" s="110">
        <f t="shared" si="113"/>
        <v>0</v>
      </c>
      <c r="T167" s="110">
        <f t="shared" si="113"/>
        <v>0</v>
      </c>
      <c r="U167" s="110">
        <f t="shared" si="113"/>
        <v>11434868.620000001</v>
      </c>
      <c r="V167" s="142"/>
      <c r="W167" s="64"/>
    </row>
    <row r="168" spans="1:23" hidden="1" x14ac:dyDescent="0.25">
      <c r="B168" s="16" t="s">
        <v>314</v>
      </c>
      <c r="C168" s="110">
        <f>+C169</f>
        <v>15000000</v>
      </c>
      <c r="D168" s="117"/>
      <c r="E168" s="117"/>
      <c r="F168" s="117"/>
      <c r="G168" s="110">
        <f>+G169</f>
        <v>15000000</v>
      </c>
      <c r="H168" s="110">
        <f t="shared" ref="H168:L168" si="114">+H169</f>
        <v>324924.79999999999</v>
      </c>
      <c r="I168" s="110">
        <f>SUM(I169:I171)</f>
        <v>689700.56</v>
      </c>
      <c r="J168" s="110">
        <f t="shared" si="114"/>
        <v>0</v>
      </c>
      <c r="K168" s="110">
        <f t="shared" si="114"/>
        <v>1270513.6200000001</v>
      </c>
      <c r="L168" s="110">
        <f t="shared" si="114"/>
        <v>0</v>
      </c>
      <c r="M168" s="110">
        <f>SUM(M169:M171)</f>
        <v>617193.33000000007</v>
      </c>
      <c r="N168" s="110">
        <f>SUM(N169:N171)</f>
        <v>3824854.3000000003</v>
      </c>
      <c r="O168" s="110">
        <f t="shared" ref="O168:U168" si="115">SUM(O169:O171)</f>
        <v>1240787.1499999999</v>
      </c>
      <c r="P168" s="110">
        <f t="shared" si="115"/>
        <v>138785.70000000001</v>
      </c>
      <c r="Q168" s="110">
        <f t="shared" si="115"/>
        <v>0</v>
      </c>
      <c r="R168" s="110">
        <f t="shared" si="115"/>
        <v>0</v>
      </c>
      <c r="S168" s="110">
        <f t="shared" si="115"/>
        <v>0</v>
      </c>
      <c r="T168" s="110">
        <f t="shared" si="115"/>
        <v>0</v>
      </c>
      <c r="U168" s="110">
        <f t="shared" si="115"/>
        <v>8106759.4600000009</v>
      </c>
      <c r="V168" s="142"/>
      <c r="W168" s="64"/>
    </row>
    <row r="169" spans="1:23" hidden="1" x14ac:dyDescent="0.25">
      <c r="B169" t="s">
        <v>315</v>
      </c>
      <c r="C169" s="117">
        <v>15000000</v>
      </c>
      <c r="D169" s="117">
        <v>1250000</v>
      </c>
      <c r="E169" s="117" t="s">
        <v>316</v>
      </c>
      <c r="F169" s="117"/>
      <c r="G169" s="117">
        <v>15000000</v>
      </c>
      <c r="H169" s="25">
        <v>324924.79999999999</v>
      </c>
      <c r="I169" s="25">
        <v>590934.56000000006</v>
      </c>
      <c r="J169" s="25"/>
      <c r="K169" s="25">
        <v>1270513.6200000001</v>
      </c>
      <c r="L169" s="117"/>
      <c r="M169" s="117">
        <v>105020</v>
      </c>
      <c r="N169" s="117">
        <v>29647.5</v>
      </c>
      <c r="O169" s="117">
        <v>1240787.1499999999</v>
      </c>
      <c r="P169" s="26">
        <v>138785.70000000001</v>
      </c>
      <c r="Q169" s="26"/>
      <c r="R169" s="26"/>
      <c r="S169" s="26"/>
      <c r="T169" s="117"/>
      <c r="U169" s="25">
        <f>SUM(H169:T169)</f>
        <v>3700613.3300000005</v>
      </c>
      <c r="V169" s="142"/>
    </row>
    <row r="170" spans="1:23" hidden="1" x14ac:dyDescent="0.25">
      <c r="B170" t="s">
        <v>317</v>
      </c>
      <c r="C170" s="117">
        <f>+C171</f>
        <v>10000000</v>
      </c>
      <c r="D170" s="117"/>
      <c r="E170" s="117"/>
      <c r="F170" s="117"/>
      <c r="G170" s="117">
        <f>+G171</f>
        <v>10000000</v>
      </c>
      <c r="H170" s="25"/>
      <c r="I170" s="25"/>
      <c r="J170" s="25"/>
      <c r="K170" s="25"/>
      <c r="L170" s="117"/>
      <c r="M170" s="117"/>
      <c r="N170" s="117"/>
      <c r="O170" s="117"/>
      <c r="P170" s="26"/>
      <c r="Q170" s="26"/>
      <c r="R170" s="26"/>
      <c r="S170" s="26"/>
      <c r="T170" s="117"/>
      <c r="U170" s="25"/>
      <c r="V170" s="142"/>
    </row>
    <row r="171" spans="1:23" hidden="1" x14ac:dyDescent="0.25">
      <c r="B171" t="s">
        <v>318</v>
      </c>
      <c r="C171" s="110">
        <v>10000000</v>
      </c>
      <c r="D171" s="117">
        <v>833333.33333333337</v>
      </c>
      <c r="E171" s="117"/>
      <c r="F171" s="117"/>
      <c r="G171" s="110">
        <v>10000000</v>
      </c>
      <c r="H171" s="117"/>
      <c r="I171" s="25">
        <v>98766</v>
      </c>
      <c r="J171" s="25"/>
      <c r="K171" s="117"/>
      <c r="L171" s="110"/>
      <c r="M171" s="117">
        <v>512173.33</v>
      </c>
      <c r="N171" s="74">
        <v>3795206.8000000003</v>
      </c>
      <c r="O171" s="74"/>
      <c r="P171" s="117"/>
      <c r="Q171" s="117"/>
      <c r="R171" s="117"/>
      <c r="S171" s="117"/>
      <c r="T171" s="74"/>
      <c r="U171" s="25">
        <f>SUM(H171:T171)</f>
        <v>4406146.1300000008</v>
      </c>
      <c r="V171" s="142"/>
    </row>
    <row r="172" spans="1:23" hidden="1" x14ac:dyDescent="0.25">
      <c r="B172" t="s">
        <v>319</v>
      </c>
      <c r="C172" s="110">
        <f>+C173</f>
        <v>10000000</v>
      </c>
      <c r="D172" s="117"/>
      <c r="E172" s="117"/>
      <c r="F172" s="117"/>
      <c r="G172" s="110">
        <f>+G173</f>
        <v>10000000</v>
      </c>
      <c r="H172" s="117"/>
      <c r="I172" s="25">
        <f>+I173</f>
        <v>46043.6</v>
      </c>
      <c r="J172" s="25">
        <f>+J173</f>
        <v>209284.2</v>
      </c>
      <c r="K172" s="110">
        <f t="shared" ref="K172:U172" si="116">+K173</f>
        <v>0</v>
      </c>
      <c r="L172" s="110">
        <f t="shared" si="116"/>
        <v>168036.6</v>
      </c>
      <c r="M172" s="110">
        <f t="shared" si="116"/>
        <v>0</v>
      </c>
      <c r="N172" s="110">
        <f t="shared" si="116"/>
        <v>416644.8</v>
      </c>
      <c r="O172" s="110">
        <f t="shared" si="116"/>
        <v>645642.09</v>
      </c>
      <c r="P172" s="110">
        <f t="shared" si="116"/>
        <v>367604.19</v>
      </c>
      <c r="Q172" s="110">
        <f t="shared" si="116"/>
        <v>0</v>
      </c>
      <c r="R172" s="110">
        <f t="shared" si="116"/>
        <v>0</v>
      </c>
      <c r="S172" s="110">
        <f t="shared" si="116"/>
        <v>0</v>
      </c>
      <c r="T172" s="110">
        <f t="shared" si="116"/>
        <v>0</v>
      </c>
      <c r="U172" s="110">
        <f t="shared" si="116"/>
        <v>3328109.1599999997</v>
      </c>
      <c r="V172" s="142"/>
    </row>
    <row r="173" spans="1:23" hidden="1" x14ac:dyDescent="0.25">
      <c r="B173" t="s">
        <v>320</v>
      </c>
      <c r="C173" s="117">
        <v>10000000</v>
      </c>
      <c r="D173" s="117">
        <v>833333.33333333337</v>
      </c>
      <c r="E173" s="117" t="s">
        <v>321</v>
      </c>
      <c r="F173" s="117"/>
      <c r="G173" s="117">
        <v>10000000</v>
      </c>
      <c r="H173" s="25">
        <v>1474853.68</v>
      </c>
      <c r="I173" s="25">
        <v>46043.6</v>
      </c>
      <c r="J173" s="25">
        <v>209284.2</v>
      </c>
      <c r="K173" s="117"/>
      <c r="L173" s="117">
        <f>+'[1]REVISIÓN MAYO 2025'!$C$167</f>
        <v>168036.6</v>
      </c>
      <c r="M173" s="117"/>
      <c r="N173" s="74">
        <v>416644.8</v>
      </c>
      <c r="O173" s="74">
        <v>645642.09</v>
      </c>
      <c r="P173" s="26">
        <v>367604.19</v>
      </c>
      <c r="Q173" s="26"/>
      <c r="R173" s="26"/>
      <c r="S173" s="26"/>
      <c r="T173" s="74"/>
      <c r="U173" s="25">
        <f>SUM(H173:T173)</f>
        <v>3328109.1599999997</v>
      </c>
      <c r="V173" s="142"/>
    </row>
    <row r="174" spans="1:23" x14ac:dyDescent="0.25">
      <c r="B174" s="16" t="s">
        <v>322</v>
      </c>
      <c r="C174" s="110">
        <f>+C175+C177</f>
        <v>12955200</v>
      </c>
      <c r="D174" s="117">
        <v>1079600</v>
      </c>
      <c r="E174" s="117"/>
      <c r="F174" s="117"/>
      <c r="G174" s="110">
        <f t="shared" ref="G174:K174" si="117">SUM(G175)</f>
        <v>10000000</v>
      </c>
      <c r="H174" s="110">
        <f t="shared" si="117"/>
        <v>0</v>
      </c>
      <c r="I174" s="110">
        <f>+I175+I177</f>
        <v>941817.55</v>
      </c>
      <c r="J174" s="110">
        <f t="shared" si="117"/>
        <v>0</v>
      </c>
      <c r="K174" s="110">
        <f t="shared" si="117"/>
        <v>0</v>
      </c>
      <c r="L174" s="110">
        <f>+L175+L177</f>
        <v>1257548.97</v>
      </c>
      <c r="M174" s="110">
        <f t="shared" ref="M174:O174" si="118">+M175+M177</f>
        <v>485584.98</v>
      </c>
      <c r="N174" s="110">
        <f t="shared" si="118"/>
        <v>119925</v>
      </c>
      <c r="O174" s="110">
        <f t="shared" si="118"/>
        <v>0</v>
      </c>
      <c r="P174" s="110">
        <f t="shared" ref="P174:U174" si="119">SUM(P175)</f>
        <v>0</v>
      </c>
      <c r="Q174" s="110">
        <f t="shared" si="119"/>
        <v>0</v>
      </c>
      <c r="R174" s="110">
        <f t="shared" si="119"/>
        <v>0</v>
      </c>
      <c r="S174" s="110">
        <f t="shared" si="119"/>
        <v>0</v>
      </c>
      <c r="T174" s="110">
        <f t="shared" si="119"/>
        <v>0</v>
      </c>
      <c r="U174" s="110">
        <f t="shared" si="119"/>
        <v>155806.57</v>
      </c>
      <c r="V174" s="142"/>
    </row>
    <row r="175" spans="1:23" hidden="1" x14ac:dyDescent="0.25">
      <c r="B175" s="16" t="s">
        <v>323</v>
      </c>
      <c r="C175" s="110">
        <f>+C176</f>
        <v>10000000</v>
      </c>
      <c r="D175" s="117"/>
      <c r="E175" s="117"/>
      <c r="F175" s="117"/>
      <c r="G175" s="110">
        <f>+G176</f>
        <v>10000000</v>
      </c>
      <c r="H175" s="110">
        <f t="shared" ref="H175:U175" si="120">+H176</f>
        <v>0</v>
      </c>
      <c r="I175" s="110">
        <f t="shared" si="120"/>
        <v>0</v>
      </c>
      <c r="J175" s="110">
        <f t="shared" si="120"/>
        <v>0</v>
      </c>
      <c r="K175" s="110">
        <f t="shared" si="120"/>
        <v>0</v>
      </c>
      <c r="L175" s="110">
        <f t="shared" si="120"/>
        <v>155806.57</v>
      </c>
      <c r="M175" s="110">
        <f t="shared" si="120"/>
        <v>0</v>
      </c>
      <c r="N175" s="110">
        <f t="shared" si="120"/>
        <v>0</v>
      </c>
      <c r="O175" s="110">
        <f t="shared" si="120"/>
        <v>0</v>
      </c>
      <c r="P175" s="110">
        <f t="shared" si="120"/>
        <v>0</v>
      </c>
      <c r="Q175" s="110">
        <f t="shared" si="120"/>
        <v>0</v>
      </c>
      <c r="R175" s="110">
        <f t="shared" si="120"/>
        <v>0</v>
      </c>
      <c r="S175" s="110">
        <f t="shared" si="120"/>
        <v>0</v>
      </c>
      <c r="T175" s="110">
        <f t="shared" si="120"/>
        <v>0</v>
      </c>
      <c r="U175" s="110">
        <f t="shared" si="120"/>
        <v>155806.57</v>
      </c>
      <c r="V175" s="142"/>
    </row>
    <row r="176" spans="1:23" hidden="1" x14ac:dyDescent="0.25">
      <c r="B176" s="16" t="s">
        <v>324</v>
      </c>
      <c r="C176" s="117">
        <v>10000000</v>
      </c>
      <c r="D176" s="117">
        <v>833333.33333333337</v>
      </c>
      <c r="E176" s="117"/>
      <c r="F176" s="117"/>
      <c r="G176" s="117">
        <v>10000000</v>
      </c>
      <c r="H176" s="117"/>
      <c r="I176" s="117"/>
      <c r="J176" s="117"/>
      <c r="K176" s="117"/>
      <c r="L176" s="117">
        <v>155806.57</v>
      </c>
      <c r="M176" s="117"/>
      <c r="N176" s="117"/>
      <c r="O176" s="117"/>
      <c r="P176" s="117"/>
      <c r="Q176" s="117"/>
      <c r="R176" s="117"/>
      <c r="S176" s="117"/>
      <c r="T176" s="117"/>
      <c r="U176" s="25">
        <f>SUM(H176:T176)</f>
        <v>155806.57</v>
      </c>
      <c r="V176" s="142"/>
    </row>
    <row r="177" spans="2:22" hidden="1" x14ac:dyDescent="0.25">
      <c r="B177" s="16" t="s">
        <v>325</v>
      </c>
      <c r="C177" s="117">
        <f>+C178</f>
        <v>2955200</v>
      </c>
      <c r="D177" s="117"/>
      <c r="E177" s="117"/>
      <c r="F177" s="117"/>
      <c r="G177" s="117">
        <f t="shared" ref="G177:U177" si="121">+G178</f>
        <v>2955200</v>
      </c>
      <c r="H177" s="117">
        <f t="shared" si="121"/>
        <v>0</v>
      </c>
      <c r="I177" s="117">
        <f t="shared" si="121"/>
        <v>941817.55</v>
      </c>
      <c r="J177" s="117">
        <f t="shared" si="121"/>
        <v>0</v>
      </c>
      <c r="K177" s="117">
        <f t="shared" si="121"/>
        <v>0</v>
      </c>
      <c r="L177" s="117">
        <f t="shared" si="121"/>
        <v>1101742.3999999999</v>
      </c>
      <c r="M177" s="117">
        <f t="shared" si="121"/>
        <v>485584.98</v>
      </c>
      <c r="N177" s="117">
        <f t="shared" si="121"/>
        <v>119925</v>
      </c>
      <c r="O177" s="117">
        <f t="shared" si="121"/>
        <v>0</v>
      </c>
      <c r="P177" s="117">
        <f t="shared" si="121"/>
        <v>0</v>
      </c>
      <c r="Q177" s="117">
        <f t="shared" si="121"/>
        <v>368750</v>
      </c>
      <c r="R177" s="117">
        <f t="shared" si="121"/>
        <v>0</v>
      </c>
      <c r="S177" s="117">
        <f t="shared" si="121"/>
        <v>0</v>
      </c>
      <c r="T177" s="117">
        <f t="shared" si="121"/>
        <v>0</v>
      </c>
      <c r="U177" s="117">
        <f t="shared" si="121"/>
        <v>3017819.9299999997</v>
      </c>
      <c r="V177" s="142"/>
    </row>
    <row r="178" spans="2:22" hidden="1" x14ac:dyDescent="0.25">
      <c r="B178" t="s">
        <v>326</v>
      </c>
      <c r="C178" s="117">
        <v>2955200</v>
      </c>
      <c r="D178" s="117">
        <v>246266.66666666666</v>
      </c>
      <c r="E178" s="117"/>
      <c r="F178" s="117"/>
      <c r="G178" s="117">
        <v>2955200</v>
      </c>
      <c r="H178" s="117"/>
      <c r="I178" s="25">
        <v>941817.55</v>
      </c>
      <c r="J178" s="25"/>
      <c r="K178" s="117"/>
      <c r="L178" s="117">
        <v>1101742.3999999999</v>
      </c>
      <c r="M178" s="117">
        <v>485584.98</v>
      </c>
      <c r="N178" s="117">
        <v>119925</v>
      </c>
      <c r="O178" s="117"/>
      <c r="P178" s="117"/>
      <c r="Q178" s="73">
        <v>368750</v>
      </c>
      <c r="R178" s="117"/>
      <c r="S178" s="117"/>
      <c r="T178" s="117"/>
      <c r="U178" s="25">
        <f>SUM(H178:T178)</f>
        <v>3017819.9299999997</v>
      </c>
      <c r="V178" s="142"/>
    </row>
    <row r="179" spans="2:22" x14ac:dyDescent="0.25">
      <c r="B179" s="16" t="s">
        <v>64</v>
      </c>
      <c r="C179" s="110">
        <f>+C180</f>
        <v>100000</v>
      </c>
      <c r="D179" s="117">
        <v>8333.3333333333339</v>
      </c>
      <c r="E179" s="117"/>
      <c r="F179" s="117"/>
      <c r="G179" s="110">
        <f t="shared" ref="G179:U180" si="122">+G180</f>
        <v>100000</v>
      </c>
      <c r="H179" s="110">
        <f t="shared" si="122"/>
        <v>0</v>
      </c>
      <c r="I179" s="110">
        <f t="shared" si="122"/>
        <v>0</v>
      </c>
      <c r="J179" s="110">
        <f t="shared" si="122"/>
        <v>0</v>
      </c>
      <c r="K179" s="110">
        <f t="shared" si="122"/>
        <v>0</v>
      </c>
      <c r="L179" s="110">
        <f t="shared" si="122"/>
        <v>0</v>
      </c>
      <c r="M179" s="110">
        <f t="shared" si="122"/>
        <v>0</v>
      </c>
      <c r="N179" s="110">
        <f t="shared" si="122"/>
        <v>0</v>
      </c>
      <c r="O179" s="110">
        <f t="shared" si="122"/>
        <v>0</v>
      </c>
      <c r="P179" s="110">
        <f t="shared" si="122"/>
        <v>0</v>
      </c>
      <c r="Q179" s="110">
        <f t="shared" si="122"/>
        <v>0</v>
      </c>
      <c r="R179" s="110">
        <f t="shared" si="122"/>
        <v>0</v>
      </c>
      <c r="S179" s="110">
        <f t="shared" si="122"/>
        <v>0</v>
      </c>
      <c r="T179" s="110">
        <f t="shared" si="122"/>
        <v>0</v>
      </c>
      <c r="U179" s="110">
        <f t="shared" si="122"/>
        <v>0</v>
      </c>
      <c r="V179" s="142"/>
    </row>
    <row r="180" spans="2:22" hidden="1" x14ac:dyDescent="0.25">
      <c r="B180" s="16" t="s">
        <v>327</v>
      </c>
      <c r="C180" s="110">
        <f>+C181</f>
        <v>100000</v>
      </c>
      <c r="D180" s="117"/>
      <c r="E180" s="117"/>
      <c r="F180" s="117"/>
      <c r="G180" s="110">
        <f t="shared" si="122"/>
        <v>100000</v>
      </c>
      <c r="H180" s="110">
        <f t="shared" si="122"/>
        <v>0</v>
      </c>
      <c r="I180" s="110">
        <f t="shared" si="122"/>
        <v>0</v>
      </c>
      <c r="J180" s="110">
        <f t="shared" si="122"/>
        <v>0</v>
      </c>
      <c r="K180" s="110">
        <f t="shared" si="122"/>
        <v>0</v>
      </c>
      <c r="L180" s="110">
        <f t="shared" si="122"/>
        <v>0</v>
      </c>
      <c r="M180" s="110">
        <f t="shared" si="122"/>
        <v>0</v>
      </c>
      <c r="N180" s="110">
        <f t="shared" si="122"/>
        <v>0</v>
      </c>
      <c r="O180" s="110">
        <f t="shared" si="122"/>
        <v>0</v>
      </c>
      <c r="P180" s="110">
        <f t="shared" si="122"/>
        <v>0</v>
      </c>
      <c r="Q180" s="110">
        <f t="shared" si="122"/>
        <v>0</v>
      </c>
      <c r="R180" s="110">
        <f t="shared" si="122"/>
        <v>0</v>
      </c>
      <c r="S180" s="110">
        <f t="shared" si="122"/>
        <v>0</v>
      </c>
      <c r="T180" s="110">
        <f t="shared" si="122"/>
        <v>0</v>
      </c>
      <c r="U180" s="110">
        <f t="shared" si="122"/>
        <v>0</v>
      </c>
      <c r="V180" s="142"/>
    </row>
    <row r="181" spans="2:22" hidden="1" x14ac:dyDescent="0.25">
      <c r="B181" t="s">
        <v>328</v>
      </c>
      <c r="C181" s="117">
        <v>100000</v>
      </c>
      <c r="D181" s="117">
        <v>8333.3333333333339</v>
      </c>
      <c r="E181" s="117"/>
      <c r="F181" s="117"/>
      <c r="G181" s="117">
        <v>100000</v>
      </c>
      <c r="H181" s="117"/>
      <c r="I181" s="117"/>
      <c r="J181" s="117"/>
      <c r="K181" s="117"/>
      <c r="L181" s="117"/>
      <c r="M181" s="117"/>
      <c r="N181" s="117"/>
      <c r="O181" s="117"/>
      <c r="P181" s="117"/>
      <c r="Q181" s="117"/>
      <c r="R181" s="117"/>
      <c r="S181" s="117"/>
      <c r="T181" s="117"/>
      <c r="U181" s="25">
        <f>SUM(H181:T181)</f>
        <v>0</v>
      </c>
      <c r="V181" s="142"/>
    </row>
    <row r="182" spans="2:22" x14ac:dyDescent="0.25">
      <c r="B182" t="s">
        <v>65</v>
      </c>
      <c r="C182" s="110">
        <f>+C183+C185</f>
        <v>500000</v>
      </c>
      <c r="D182" s="117">
        <v>41666.666666666664</v>
      </c>
      <c r="E182" s="117"/>
      <c r="F182" s="117"/>
      <c r="G182" s="110">
        <f t="shared" ref="G182:U182" si="123">+G183+G185</f>
        <v>500000</v>
      </c>
      <c r="H182" s="110">
        <f t="shared" si="123"/>
        <v>0</v>
      </c>
      <c r="I182" s="110">
        <f t="shared" si="123"/>
        <v>0</v>
      </c>
      <c r="J182" s="110">
        <f t="shared" si="123"/>
        <v>0</v>
      </c>
      <c r="K182" s="110">
        <f t="shared" si="123"/>
        <v>0</v>
      </c>
      <c r="L182" s="110">
        <f t="shared" si="123"/>
        <v>0</v>
      </c>
      <c r="M182" s="110">
        <f t="shared" si="123"/>
        <v>0</v>
      </c>
      <c r="N182" s="110">
        <f t="shared" si="123"/>
        <v>0</v>
      </c>
      <c r="O182" s="110">
        <f t="shared" si="123"/>
        <v>0</v>
      </c>
      <c r="P182" s="110">
        <f t="shared" si="123"/>
        <v>0</v>
      </c>
      <c r="Q182" s="110">
        <f t="shared" si="123"/>
        <v>0</v>
      </c>
      <c r="R182" s="110">
        <f t="shared" si="123"/>
        <v>0</v>
      </c>
      <c r="S182" s="110">
        <f t="shared" si="123"/>
        <v>0</v>
      </c>
      <c r="T182" s="110">
        <f t="shared" si="123"/>
        <v>0</v>
      </c>
      <c r="U182" s="110">
        <f t="shared" si="123"/>
        <v>0</v>
      </c>
      <c r="V182" s="142"/>
    </row>
    <row r="183" spans="2:22" hidden="1" x14ac:dyDescent="0.25">
      <c r="B183" t="s">
        <v>329</v>
      </c>
      <c r="C183" s="110">
        <f>+C184</f>
        <v>0</v>
      </c>
      <c r="D183" s="117"/>
      <c r="E183" s="117"/>
      <c r="F183" s="117"/>
      <c r="G183" s="110">
        <f>+G184</f>
        <v>0</v>
      </c>
      <c r="H183" s="117"/>
      <c r="I183" s="117"/>
      <c r="J183" s="117"/>
      <c r="K183" s="117"/>
      <c r="L183" s="110"/>
      <c r="M183" s="110"/>
      <c r="N183" s="117"/>
      <c r="O183" s="117"/>
      <c r="P183" s="117"/>
      <c r="Q183" s="117"/>
      <c r="R183" s="117"/>
      <c r="S183" s="117"/>
      <c r="T183" s="117"/>
      <c r="U183" s="25"/>
      <c r="V183" s="142"/>
    </row>
    <row r="184" spans="2:22" hidden="1" x14ac:dyDescent="0.25">
      <c r="B184" t="s">
        <v>330</v>
      </c>
      <c r="C184" s="117">
        <v>0</v>
      </c>
      <c r="D184" s="117">
        <v>0</v>
      </c>
      <c r="E184" s="117"/>
      <c r="F184" s="117"/>
      <c r="G184" s="117">
        <v>0</v>
      </c>
      <c r="H184" s="117"/>
      <c r="I184" s="117"/>
      <c r="J184" s="117"/>
      <c r="K184" s="117"/>
      <c r="L184" s="117"/>
      <c r="M184" s="117"/>
      <c r="N184" s="117"/>
      <c r="O184" s="117"/>
      <c r="P184" s="117"/>
      <c r="Q184" s="117"/>
      <c r="R184" s="117"/>
      <c r="S184" s="117"/>
      <c r="T184" s="117"/>
      <c r="U184" s="25">
        <f>SUM(H184:T184)</f>
        <v>0</v>
      </c>
      <c r="V184" s="142"/>
    </row>
    <row r="185" spans="2:22" hidden="1" x14ac:dyDescent="0.25">
      <c r="B185" t="s">
        <v>331</v>
      </c>
      <c r="C185" s="117">
        <f>+C186</f>
        <v>500000</v>
      </c>
      <c r="D185" s="117"/>
      <c r="E185" s="117"/>
      <c r="F185" s="117"/>
      <c r="G185" s="117">
        <f>+G186</f>
        <v>500000</v>
      </c>
      <c r="H185" s="117">
        <f t="shared" ref="H185:U185" si="124">+H186</f>
        <v>0</v>
      </c>
      <c r="I185" s="117">
        <f t="shared" si="124"/>
        <v>0</v>
      </c>
      <c r="J185" s="117">
        <f t="shared" si="124"/>
        <v>0</v>
      </c>
      <c r="K185" s="117">
        <f t="shared" si="124"/>
        <v>0</v>
      </c>
      <c r="L185" s="117">
        <f t="shared" si="124"/>
        <v>0</v>
      </c>
      <c r="M185" s="117">
        <f t="shared" si="124"/>
        <v>0</v>
      </c>
      <c r="N185" s="117">
        <f t="shared" si="124"/>
        <v>0</v>
      </c>
      <c r="O185" s="117">
        <f t="shared" si="124"/>
        <v>0</v>
      </c>
      <c r="P185" s="117">
        <f t="shared" si="124"/>
        <v>0</v>
      </c>
      <c r="Q185" s="117">
        <f t="shared" si="124"/>
        <v>0</v>
      </c>
      <c r="R185" s="117">
        <f t="shared" si="124"/>
        <v>0</v>
      </c>
      <c r="S185" s="117">
        <f t="shared" si="124"/>
        <v>0</v>
      </c>
      <c r="T185" s="117">
        <f t="shared" si="124"/>
        <v>0</v>
      </c>
      <c r="U185" s="117">
        <f t="shared" si="124"/>
        <v>0</v>
      </c>
      <c r="V185" s="142"/>
    </row>
    <row r="186" spans="2:22" hidden="1" x14ac:dyDescent="0.25">
      <c r="B186" t="s">
        <v>332</v>
      </c>
      <c r="C186" s="117">
        <v>500000</v>
      </c>
      <c r="D186" s="117">
        <v>41666.666666666664</v>
      </c>
      <c r="E186" s="117"/>
      <c r="F186" s="117"/>
      <c r="G186" s="117">
        <v>500000</v>
      </c>
      <c r="H186" s="117"/>
      <c r="I186" s="117"/>
      <c r="J186" s="117"/>
      <c r="K186" s="117"/>
      <c r="L186" s="117"/>
      <c r="M186" s="117"/>
      <c r="N186" s="117"/>
      <c r="O186" s="117"/>
      <c r="P186" s="117"/>
      <c r="Q186" s="117"/>
      <c r="R186" s="117"/>
      <c r="S186" s="117"/>
      <c r="T186" s="117"/>
      <c r="U186" s="25">
        <f>SUM(H186:T186)</f>
        <v>0</v>
      </c>
      <c r="V186" s="142"/>
    </row>
    <row r="187" spans="2:22" x14ac:dyDescent="0.25">
      <c r="B187" t="s">
        <v>66</v>
      </c>
      <c r="C187" s="110">
        <f>+C188+C190+C192+C194</f>
        <v>18100000</v>
      </c>
      <c r="D187" s="117">
        <v>1508333.3333333333</v>
      </c>
      <c r="E187" s="117"/>
      <c r="F187" s="117"/>
      <c r="G187" s="110">
        <f>+G188+G190+G192+G194</f>
        <v>18100000</v>
      </c>
      <c r="H187" s="117">
        <f>SUM(H189:H195)</f>
        <v>0</v>
      </c>
      <c r="I187" s="117">
        <f>+I188+I190+I192+I194</f>
        <v>67496</v>
      </c>
      <c r="J187" s="117">
        <f t="shared" ref="J187" si="125">SUM(J189:J195)</f>
        <v>0</v>
      </c>
      <c r="K187" s="117">
        <f>+K188+K190+K192+K194</f>
        <v>228482.68</v>
      </c>
      <c r="L187" s="110">
        <f>+L188+L190+L192+L194</f>
        <v>134992</v>
      </c>
      <c r="M187" s="110">
        <f t="shared" ref="M187:U187" si="126">+M188+M190+M192+M194</f>
        <v>62881.78</v>
      </c>
      <c r="N187" s="110">
        <f t="shared" si="126"/>
        <v>0</v>
      </c>
      <c r="O187" s="110">
        <f t="shared" si="126"/>
        <v>88482.3</v>
      </c>
      <c r="P187" s="110">
        <f t="shared" si="126"/>
        <v>46197</v>
      </c>
      <c r="Q187" s="110">
        <f t="shared" si="126"/>
        <v>69201</v>
      </c>
      <c r="R187" s="110">
        <f t="shared" si="126"/>
        <v>0</v>
      </c>
      <c r="S187" s="110">
        <f t="shared" si="126"/>
        <v>0</v>
      </c>
      <c r="T187" s="110">
        <f t="shared" si="126"/>
        <v>0</v>
      </c>
      <c r="U187" s="110">
        <f t="shared" si="126"/>
        <v>697732.76</v>
      </c>
      <c r="V187" s="142"/>
    </row>
    <row r="188" spans="2:22" hidden="1" x14ac:dyDescent="0.25">
      <c r="B188" t="s">
        <v>333</v>
      </c>
      <c r="C188" s="110">
        <f>+C189</f>
        <v>15000000</v>
      </c>
      <c r="D188" s="117"/>
      <c r="E188" s="117"/>
      <c r="F188" s="117"/>
      <c r="G188" s="110">
        <f t="shared" ref="G188:U188" si="127">+G189</f>
        <v>15000000</v>
      </c>
      <c r="H188" s="110">
        <f t="shared" si="127"/>
        <v>0</v>
      </c>
      <c r="I188" s="110">
        <f t="shared" si="127"/>
        <v>0</v>
      </c>
      <c r="J188" s="110">
        <f t="shared" si="127"/>
        <v>0</v>
      </c>
      <c r="K188" s="110">
        <f t="shared" si="127"/>
        <v>0</v>
      </c>
      <c r="L188" s="110">
        <f t="shared" si="127"/>
        <v>0</v>
      </c>
      <c r="M188" s="110">
        <f t="shared" si="127"/>
        <v>0</v>
      </c>
      <c r="N188" s="110">
        <f t="shared" si="127"/>
        <v>0</v>
      </c>
      <c r="O188" s="110">
        <f t="shared" si="127"/>
        <v>0</v>
      </c>
      <c r="P188" s="110">
        <f t="shared" si="127"/>
        <v>0</v>
      </c>
      <c r="Q188" s="110">
        <f t="shared" si="127"/>
        <v>69201</v>
      </c>
      <c r="R188" s="110">
        <f t="shared" si="127"/>
        <v>0</v>
      </c>
      <c r="S188" s="110">
        <f t="shared" si="127"/>
        <v>0</v>
      </c>
      <c r="T188" s="110">
        <f t="shared" si="127"/>
        <v>0</v>
      </c>
      <c r="U188" s="110">
        <f t="shared" si="127"/>
        <v>69201</v>
      </c>
      <c r="V188" s="142"/>
    </row>
    <row r="189" spans="2:22" hidden="1" x14ac:dyDescent="0.25">
      <c r="B189" t="s">
        <v>334</v>
      </c>
      <c r="C189" s="110">
        <v>15000000</v>
      </c>
      <c r="D189" s="117">
        <v>1250000</v>
      </c>
      <c r="E189" s="117"/>
      <c r="F189" s="117"/>
      <c r="G189" s="110">
        <v>15000000</v>
      </c>
      <c r="H189" s="117"/>
      <c r="I189" s="117"/>
      <c r="J189" s="117"/>
      <c r="K189" s="117"/>
      <c r="L189" s="110"/>
      <c r="M189" s="117"/>
      <c r="N189" s="117"/>
      <c r="O189" s="117"/>
      <c r="P189" s="117"/>
      <c r="Q189" s="102">
        <v>69201</v>
      </c>
      <c r="R189" s="117"/>
      <c r="S189" s="117"/>
      <c r="T189" s="117"/>
      <c r="U189" s="25">
        <f>SUM(H189:T189)</f>
        <v>69201</v>
      </c>
      <c r="V189" s="142"/>
    </row>
    <row r="190" spans="2:22" ht="30" hidden="1" x14ac:dyDescent="0.25">
      <c r="B190" s="112" t="s">
        <v>335</v>
      </c>
      <c r="C190" s="110">
        <f>+C191</f>
        <v>500000</v>
      </c>
      <c r="D190" s="117"/>
      <c r="E190" s="117"/>
      <c r="F190" s="117"/>
      <c r="G190" s="110">
        <f>+G191</f>
        <v>500000</v>
      </c>
      <c r="H190" s="110">
        <f t="shared" ref="H190:U190" si="128">+H191</f>
        <v>0</v>
      </c>
      <c r="I190" s="110">
        <f t="shared" si="128"/>
        <v>0</v>
      </c>
      <c r="J190" s="110">
        <f t="shared" si="128"/>
        <v>0</v>
      </c>
      <c r="K190" s="110">
        <f t="shared" si="128"/>
        <v>0</v>
      </c>
      <c r="L190" s="110">
        <f t="shared" si="128"/>
        <v>0</v>
      </c>
      <c r="M190" s="110">
        <f t="shared" si="128"/>
        <v>0</v>
      </c>
      <c r="N190" s="110">
        <f t="shared" si="128"/>
        <v>0</v>
      </c>
      <c r="O190" s="110">
        <f t="shared" si="128"/>
        <v>0</v>
      </c>
      <c r="P190" s="110">
        <f t="shared" si="128"/>
        <v>0</v>
      </c>
      <c r="Q190" s="110">
        <f t="shared" si="128"/>
        <v>0</v>
      </c>
      <c r="R190" s="110">
        <f t="shared" si="128"/>
        <v>0</v>
      </c>
      <c r="S190" s="110">
        <f t="shared" si="128"/>
        <v>0</v>
      </c>
      <c r="T190" s="110">
        <f t="shared" si="128"/>
        <v>0</v>
      </c>
      <c r="U190" s="110">
        <f t="shared" si="128"/>
        <v>0</v>
      </c>
      <c r="V190" s="142"/>
    </row>
    <row r="191" spans="2:22" hidden="1" x14ac:dyDescent="0.25">
      <c r="B191" t="s">
        <v>336</v>
      </c>
      <c r="C191" s="117">
        <v>500000</v>
      </c>
      <c r="D191" s="117">
        <v>41666.666666666664</v>
      </c>
      <c r="E191" s="117"/>
      <c r="F191" s="117"/>
      <c r="G191" s="117">
        <v>500000</v>
      </c>
      <c r="H191" s="117"/>
      <c r="I191" s="117"/>
      <c r="J191" s="117"/>
      <c r="K191" s="117"/>
      <c r="L191" s="117"/>
      <c r="M191" s="117"/>
      <c r="N191" s="117"/>
      <c r="O191" s="117"/>
      <c r="P191" s="117"/>
      <c r="Q191" s="117"/>
      <c r="R191" s="117"/>
      <c r="S191" s="117"/>
      <c r="T191" s="117"/>
      <c r="U191" s="25">
        <f>SUM(H191:T191)</f>
        <v>0</v>
      </c>
      <c r="V191" s="142"/>
    </row>
    <row r="192" spans="2:22" hidden="1" x14ac:dyDescent="0.25">
      <c r="B192" t="s">
        <v>337</v>
      </c>
      <c r="C192" s="117">
        <f>+C193</f>
        <v>100000</v>
      </c>
      <c r="D192" s="117"/>
      <c r="E192" s="117"/>
      <c r="F192" s="117"/>
      <c r="G192" s="117">
        <f t="shared" ref="G192:U192" si="129">+G193</f>
        <v>100000</v>
      </c>
      <c r="H192" s="117">
        <f t="shared" si="129"/>
        <v>0</v>
      </c>
      <c r="I192" s="117">
        <f t="shared" si="129"/>
        <v>0</v>
      </c>
      <c r="J192" s="117">
        <f t="shared" si="129"/>
        <v>0</v>
      </c>
      <c r="K192" s="117">
        <f t="shared" si="129"/>
        <v>0</v>
      </c>
      <c r="L192" s="117">
        <f t="shared" si="129"/>
        <v>0</v>
      </c>
      <c r="M192" s="117">
        <f t="shared" si="129"/>
        <v>0</v>
      </c>
      <c r="N192" s="117">
        <f t="shared" si="129"/>
        <v>0</v>
      </c>
      <c r="O192" s="117">
        <f t="shared" si="129"/>
        <v>0</v>
      </c>
      <c r="P192" s="117">
        <f t="shared" si="129"/>
        <v>0</v>
      </c>
      <c r="Q192" s="117">
        <f t="shared" si="129"/>
        <v>0</v>
      </c>
      <c r="R192" s="117">
        <f t="shared" si="129"/>
        <v>0</v>
      </c>
      <c r="S192" s="117">
        <f t="shared" si="129"/>
        <v>0</v>
      </c>
      <c r="T192" s="117">
        <f t="shared" si="129"/>
        <v>0</v>
      </c>
      <c r="U192" s="117">
        <f t="shared" si="129"/>
        <v>0</v>
      </c>
      <c r="V192" s="142"/>
    </row>
    <row r="193" spans="1:23" hidden="1" x14ac:dyDescent="0.25">
      <c r="B193" t="s">
        <v>338</v>
      </c>
      <c r="C193" s="117">
        <v>100000</v>
      </c>
      <c r="D193" s="117">
        <v>8333.3333333333339</v>
      </c>
      <c r="E193" s="117"/>
      <c r="F193" s="117"/>
      <c r="G193" s="117">
        <v>100000</v>
      </c>
      <c r="H193" s="117"/>
      <c r="I193" s="117"/>
      <c r="J193" s="117"/>
      <c r="K193" s="117"/>
      <c r="L193" s="117"/>
      <c r="M193" s="117"/>
      <c r="N193" s="117"/>
      <c r="O193" s="117"/>
      <c r="P193" s="117"/>
      <c r="Q193" s="117"/>
      <c r="R193" s="117"/>
      <c r="S193" s="117"/>
      <c r="T193" s="117"/>
      <c r="U193" s="25">
        <f>SUM(H193:T193)</f>
        <v>0</v>
      </c>
      <c r="V193" s="142"/>
      <c r="W193" s="64"/>
    </row>
    <row r="194" spans="1:23" hidden="1" x14ac:dyDescent="0.25">
      <c r="B194" t="s">
        <v>339</v>
      </c>
      <c r="C194" s="117">
        <f>+C195</f>
        <v>2500000</v>
      </c>
      <c r="D194" s="117"/>
      <c r="E194" s="117"/>
      <c r="F194" s="117"/>
      <c r="G194" s="117">
        <f>+G195</f>
        <v>2500000</v>
      </c>
      <c r="H194" s="117">
        <f t="shared" ref="H194:U194" si="130">+H195</f>
        <v>0</v>
      </c>
      <c r="I194" s="117">
        <f t="shared" si="130"/>
        <v>67496</v>
      </c>
      <c r="J194" s="117">
        <f t="shared" si="130"/>
        <v>0</v>
      </c>
      <c r="K194" s="117">
        <f t="shared" si="130"/>
        <v>228482.68</v>
      </c>
      <c r="L194" s="117">
        <f t="shared" si="130"/>
        <v>134992</v>
      </c>
      <c r="M194" s="117">
        <f t="shared" si="130"/>
        <v>62881.78</v>
      </c>
      <c r="N194" s="117">
        <f t="shared" si="130"/>
        <v>0</v>
      </c>
      <c r="O194" s="117">
        <f t="shared" si="130"/>
        <v>88482.3</v>
      </c>
      <c r="P194" s="117">
        <f t="shared" si="130"/>
        <v>46197</v>
      </c>
      <c r="Q194" s="117">
        <f t="shared" si="130"/>
        <v>0</v>
      </c>
      <c r="R194" s="117">
        <f t="shared" si="130"/>
        <v>0</v>
      </c>
      <c r="S194" s="117">
        <f t="shared" si="130"/>
        <v>0</v>
      </c>
      <c r="T194" s="117">
        <f t="shared" si="130"/>
        <v>0</v>
      </c>
      <c r="U194" s="117">
        <f t="shared" si="130"/>
        <v>628531.76</v>
      </c>
      <c r="V194" s="142"/>
      <c r="W194" s="64"/>
    </row>
    <row r="195" spans="1:23" hidden="1" x14ac:dyDescent="0.25">
      <c r="B195" t="s">
        <v>340</v>
      </c>
      <c r="C195" s="117">
        <v>2500000</v>
      </c>
      <c r="D195" s="117">
        <v>208333.33333333334</v>
      </c>
      <c r="E195" s="117"/>
      <c r="F195" s="117"/>
      <c r="G195" s="117">
        <v>2500000</v>
      </c>
      <c r="H195" s="117"/>
      <c r="I195" s="25">
        <v>67496</v>
      </c>
      <c r="J195" s="25"/>
      <c r="K195" s="25">
        <v>228482.68</v>
      </c>
      <c r="L195" s="117">
        <v>134992</v>
      </c>
      <c r="M195" s="117">
        <v>62881.78</v>
      </c>
      <c r="N195" s="117"/>
      <c r="O195" s="139">
        <v>88482.3</v>
      </c>
      <c r="P195" s="26">
        <v>46197</v>
      </c>
      <c r="Q195" s="26"/>
      <c r="R195" s="26"/>
      <c r="S195" s="26"/>
      <c r="T195" s="139"/>
      <c r="U195" s="25">
        <f>SUM(H195:T195)</f>
        <v>628531.76</v>
      </c>
      <c r="V195" s="142"/>
    </row>
    <row r="196" spans="1:23" x14ac:dyDescent="0.25">
      <c r="B196" t="s">
        <v>67</v>
      </c>
      <c r="C196" s="110">
        <f>+C198</f>
        <v>750000</v>
      </c>
      <c r="D196" s="117">
        <v>62500</v>
      </c>
      <c r="E196" s="117"/>
      <c r="F196" s="117"/>
      <c r="G196" s="110">
        <f t="shared" ref="G196:U196" si="131">+G198</f>
        <v>750000</v>
      </c>
      <c r="H196" s="110">
        <f t="shared" si="131"/>
        <v>0</v>
      </c>
      <c r="I196" s="110">
        <f t="shared" si="131"/>
        <v>0</v>
      </c>
      <c r="J196" s="110">
        <f t="shared" si="131"/>
        <v>0</v>
      </c>
      <c r="K196" s="110">
        <f t="shared" si="131"/>
        <v>0</v>
      </c>
      <c r="L196" s="110">
        <f t="shared" si="131"/>
        <v>0</v>
      </c>
      <c r="M196" s="110">
        <f t="shared" si="131"/>
        <v>0</v>
      </c>
      <c r="N196" s="110">
        <f t="shared" si="131"/>
        <v>0</v>
      </c>
      <c r="O196" s="110">
        <f t="shared" si="131"/>
        <v>0</v>
      </c>
      <c r="P196" s="110">
        <f t="shared" si="131"/>
        <v>0</v>
      </c>
      <c r="Q196" s="110">
        <f t="shared" si="131"/>
        <v>0</v>
      </c>
      <c r="R196" s="110">
        <f t="shared" si="131"/>
        <v>0</v>
      </c>
      <c r="S196" s="110">
        <f t="shared" si="131"/>
        <v>0</v>
      </c>
      <c r="T196" s="110">
        <f t="shared" si="131"/>
        <v>0</v>
      </c>
      <c r="U196" s="110">
        <f t="shared" si="131"/>
        <v>0</v>
      </c>
      <c r="V196" s="142"/>
    </row>
    <row r="197" spans="1:23" hidden="1" x14ac:dyDescent="0.25">
      <c r="B197" t="s">
        <v>341</v>
      </c>
      <c r="C197" s="110">
        <f>+C198</f>
        <v>750000</v>
      </c>
      <c r="D197" s="117"/>
      <c r="E197" s="117"/>
      <c r="F197" s="117"/>
      <c r="G197" s="110">
        <f t="shared" ref="G197:U197" si="132">+G198</f>
        <v>750000</v>
      </c>
      <c r="H197" s="110">
        <f t="shared" si="132"/>
        <v>0</v>
      </c>
      <c r="I197" s="110">
        <f t="shared" si="132"/>
        <v>0</v>
      </c>
      <c r="J197" s="110">
        <f t="shared" si="132"/>
        <v>0</v>
      </c>
      <c r="K197" s="110">
        <f t="shared" si="132"/>
        <v>0</v>
      </c>
      <c r="L197" s="110">
        <f t="shared" si="132"/>
        <v>0</v>
      </c>
      <c r="M197" s="110">
        <f t="shared" si="132"/>
        <v>0</v>
      </c>
      <c r="N197" s="110">
        <f t="shared" si="132"/>
        <v>0</v>
      </c>
      <c r="O197" s="110">
        <f t="shared" si="132"/>
        <v>0</v>
      </c>
      <c r="P197" s="110">
        <f t="shared" si="132"/>
        <v>0</v>
      </c>
      <c r="Q197" s="110">
        <f t="shared" si="132"/>
        <v>0</v>
      </c>
      <c r="R197" s="110">
        <f t="shared" si="132"/>
        <v>0</v>
      </c>
      <c r="S197" s="110">
        <f t="shared" si="132"/>
        <v>0</v>
      </c>
      <c r="T197" s="110">
        <f t="shared" si="132"/>
        <v>0</v>
      </c>
      <c r="U197" s="110">
        <f t="shared" si="132"/>
        <v>0</v>
      </c>
      <c r="V197" s="142"/>
    </row>
    <row r="198" spans="1:23" hidden="1" x14ac:dyDescent="0.25">
      <c r="B198" t="s">
        <v>342</v>
      </c>
      <c r="C198" s="117">
        <v>750000</v>
      </c>
      <c r="D198" s="117">
        <v>62500</v>
      </c>
      <c r="E198" s="117"/>
      <c r="F198" s="117"/>
      <c r="G198" s="117">
        <v>750000</v>
      </c>
      <c r="H198" s="117"/>
      <c r="I198" s="117"/>
      <c r="J198" s="117"/>
      <c r="K198" s="117"/>
      <c r="L198" s="117"/>
      <c r="M198" s="117"/>
      <c r="N198" s="26">
        <v>0</v>
      </c>
      <c r="O198" s="26">
        <v>0</v>
      </c>
      <c r="P198" s="117"/>
      <c r="Q198" s="117"/>
      <c r="R198" s="117"/>
      <c r="S198" s="117"/>
      <c r="T198" s="26">
        <v>0</v>
      </c>
      <c r="U198" s="25">
        <f>SUM(H198:T198)</f>
        <v>0</v>
      </c>
      <c r="V198" s="142"/>
    </row>
    <row r="199" spans="1:23" x14ac:dyDescent="0.25">
      <c r="B199" t="s">
        <v>69</v>
      </c>
      <c r="C199" s="110">
        <f>+C200</f>
        <v>1500000</v>
      </c>
      <c r="D199" s="117">
        <v>125000</v>
      </c>
      <c r="E199" s="117"/>
      <c r="F199" s="117"/>
      <c r="G199" s="110">
        <f>+G200</f>
        <v>1500000</v>
      </c>
      <c r="H199" s="110">
        <f t="shared" ref="H199:U199" si="133">+H200</f>
        <v>0</v>
      </c>
      <c r="I199" s="110">
        <f t="shared" si="133"/>
        <v>0</v>
      </c>
      <c r="J199" s="110">
        <f t="shared" si="133"/>
        <v>0</v>
      </c>
      <c r="K199" s="110">
        <f t="shared" si="133"/>
        <v>0</v>
      </c>
      <c r="L199" s="110">
        <f t="shared" si="133"/>
        <v>0</v>
      </c>
      <c r="M199" s="110">
        <f t="shared" si="133"/>
        <v>0</v>
      </c>
      <c r="N199" s="110">
        <f t="shared" si="133"/>
        <v>0</v>
      </c>
      <c r="O199" s="110">
        <f t="shared" si="133"/>
        <v>0</v>
      </c>
      <c r="P199" s="110">
        <f t="shared" si="133"/>
        <v>0</v>
      </c>
      <c r="Q199" s="110">
        <f t="shared" si="133"/>
        <v>0</v>
      </c>
      <c r="R199" s="110">
        <f t="shared" si="133"/>
        <v>0</v>
      </c>
      <c r="S199" s="110">
        <f t="shared" si="133"/>
        <v>0</v>
      </c>
      <c r="T199" s="110">
        <f t="shared" si="133"/>
        <v>0</v>
      </c>
      <c r="U199" s="110">
        <f t="shared" si="133"/>
        <v>0</v>
      </c>
      <c r="V199" s="142"/>
    </row>
    <row r="200" spans="1:23" hidden="1" x14ac:dyDescent="0.25">
      <c r="B200" t="s">
        <v>343</v>
      </c>
      <c r="C200" s="110">
        <f>+C201+C202</f>
        <v>1500000</v>
      </c>
      <c r="D200" s="117"/>
      <c r="E200" s="117"/>
      <c r="F200" s="117"/>
      <c r="G200" s="110">
        <f>+G201+G202</f>
        <v>1500000</v>
      </c>
      <c r="H200" s="110">
        <f t="shared" ref="H200:U200" si="134">+H201+H202</f>
        <v>0</v>
      </c>
      <c r="I200" s="110">
        <f t="shared" si="134"/>
        <v>0</v>
      </c>
      <c r="J200" s="110">
        <f t="shared" si="134"/>
        <v>0</v>
      </c>
      <c r="K200" s="110">
        <f t="shared" si="134"/>
        <v>0</v>
      </c>
      <c r="L200" s="110">
        <f t="shared" si="134"/>
        <v>0</v>
      </c>
      <c r="M200" s="110">
        <f t="shared" si="134"/>
        <v>0</v>
      </c>
      <c r="N200" s="110">
        <f t="shared" si="134"/>
        <v>0</v>
      </c>
      <c r="O200" s="110">
        <f t="shared" si="134"/>
        <v>0</v>
      </c>
      <c r="P200" s="110">
        <f t="shared" si="134"/>
        <v>0</v>
      </c>
      <c r="Q200" s="110">
        <f t="shared" si="134"/>
        <v>0</v>
      </c>
      <c r="R200" s="110">
        <f t="shared" si="134"/>
        <v>0</v>
      </c>
      <c r="S200" s="110">
        <f t="shared" si="134"/>
        <v>0</v>
      </c>
      <c r="T200" s="110">
        <f t="shared" si="134"/>
        <v>0</v>
      </c>
      <c r="U200" s="110">
        <f t="shared" si="134"/>
        <v>0</v>
      </c>
      <c r="V200" s="142"/>
    </row>
    <row r="201" spans="1:23" hidden="1" x14ac:dyDescent="0.25">
      <c r="B201" t="s">
        <v>344</v>
      </c>
      <c r="C201" s="117">
        <v>1000000</v>
      </c>
      <c r="D201" s="117">
        <v>83333.333333333328</v>
      </c>
      <c r="E201" s="117"/>
      <c r="F201" s="117"/>
      <c r="G201" s="117">
        <v>1000000</v>
      </c>
      <c r="H201" s="117"/>
      <c r="I201" s="117"/>
      <c r="J201" s="117"/>
      <c r="K201" s="117"/>
      <c r="L201" s="117"/>
      <c r="M201" s="117"/>
      <c r="N201" s="117"/>
      <c r="O201" s="117"/>
      <c r="P201" s="117"/>
      <c r="Q201" s="117"/>
      <c r="R201" s="117"/>
      <c r="S201" s="117"/>
      <c r="T201" s="117"/>
      <c r="U201" s="25">
        <f>SUM(H201:T201)</f>
        <v>0</v>
      </c>
      <c r="V201" s="142"/>
    </row>
    <row r="202" spans="1:23" hidden="1" x14ac:dyDescent="0.25">
      <c r="B202" t="s">
        <v>345</v>
      </c>
      <c r="C202" s="117">
        <v>500000</v>
      </c>
      <c r="D202" s="117">
        <v>41666.666666666664</v>
      </c>
      <c r="E202" s="117"/>
      <c r="F202" s="117"/>
      <c r="G202" s="117">
        <v>500000</v>
      </c>
      <c r="H202" s="117"/>
      <c r="I202" s="117"/>
      <c r="J202" s="117"/>
      <c r="K202" s="117"/>
      <c r="L202" s="117"/>
      <c r="M202" s="117"/>
      <c r="N202" s="117"/>
      <c r="O202" s="117"/>
      <c r="P202" s="117"/>
      <c r="Q202" s="117"/>
      <c r="R202" s="117"/>
      <c r="S202" s="117"/>
      <c r="T202" s="117"/>
      <c r="U202" s="25">
        <f>SUM(H202:T202)</f>
        <v>0</v>
      </c>
      <c r="V202" s="142"/>
    </row>
    <row r="203" spans="1:23" ht="30.75" thickBot="1" x14ac:dyDescent="0.3">
      <c r="B203" s="112" t="s">
        <v>346</v>
      </c>
      <c r="C203" s="110">
        <f>+C205</f>
        <v>100000000</v>
      </c>
      <c r="D203" s="117">
        <v>8333333.333333333</v>
      </c>
      <c r="E203" s="117"/>
      <c r="F203" s="117"/>
      <c r="G203" s="110">
        <f t="shared" ref="G203:U203" si="135">+G205</f>
        <v>100000000</v>
      </c>
      <c r="H203" s="110">
        <f t="shared" si="135"/>
        <v>0</v>
      </c>
      <c r="I203" s="110">
        <f t="shared" si="135"/>
        <v>0</v>
      </c>
      <c r="J203" s="110">
        <f t="shared" si="135"/>
        <v>0</v>
      </c>
      <c r="K203" s="110">
        <f t="shared" si="135"/>
        <v>0</v>
      </c>
      <c r="L203" s="110">
        <f t="shared" si="135"/>
        <v>0</v>
      </c>
      <c r="M203" s="110">
        <f t="shared" si="135"/>
        <v>0</v>
      </c>
      <c r="N203" s="110">
        <f t="shared" si="135"/>
        <v>0</v>
      </c>
      <c r="O203" s="110">
        <f t="shared" si="135"/>
        <v>0</v>
      </c>
      <c r="P203" s="110">
        <f t="shared" si="135"/>
        <v>0</v>
      </c>
      <c r="Q203" s="110">
        <f t="shared" si="135"/>
        <v>0</v>
      </c>
      <c r="R203" s="110">
        <f t="shared" si="135"/>
        <v>0</v>
      </c>
      <c r="S203" s="110">
        <f t="shared" si="135"/>
        <v>0</v>
      </c>
      <c r="T203" s="110">
        <f t="shared" si="135"/>
        <v>0</v>
      </c>
      <c r="U203" s="110">
        <f t="shared" si="135"/>
        <v>0</v>
      </c>
      <c r="V203" s="142"/>
    </row>
    <row r="204" spans="1:23" ht="15.75" hidden="1" thickBot="1" x14ac:dyDescent="0.3">
      <c r="B204" s="87" t="s">
        <v>347</v>
      </c>
      <c r="C204" s="88">
        <f>+C205</f>
        <v>100000000</v>
      </c>
      <c r="D204" s="76"/>
      <c r="E204" s="76"/>
      <c r="F204" s="76"/>
      <c r="G204" s="88">
        <f t="shared" ref="G204:U204" si="136">+G205</f>
        <v>100000000</v>
      </c>
      <c r="H204" s="88">
        <f t="shared" si="136"/>
        <v>0</v>
      </c>
      <c r="I204" s="88">
        <f t="shared" si="136"/>
        <v>0</v>
      </c>
      <c r="J204" s="88">
        <f t="shared" si="136"/>
        <v>0</v>
      </c>
      <c r="K204" s="88">
        <f t="shared" si="136"/>
        <v>0</v>
      </c>
      <c r="L204" s="88">
        <f t="shared" si="136"/>
        <v>0</v>
      </c>
      <c r="M204" s="88">
        <f t="shared" si="136"/>
        <v>0</v>
      </c>
      <c r="N204" s="88">
        <f t="shared" si="136"/>
        <v>0</v>
      </c>
      <c r="O204" s="88">
        <f t="shared" si="136"/>
        <v>0</v>
      </c>
      <c r="P204" s="88">
        <f t="shared" si="136"/>
        <v>0</v>
      </c>
      <c r="Q204" s="88">
        <f t="shared" si="136"/>
        <v>0</v>
      </c>
      <c r="R204" s="88">
        <f t="shared" si="136"/>
        <v>0</v>
      </c>
      <c r="S204" s="88">
        <f t="shared" si="136"/>
        <v>0</v>
      </c>
      <c r="T204" s="88">
        <f t="shared" si="136"/>
        <v>0</v>
      </c>
      <c r="U204" s="88">
        <f t="shared" si="136"/>
        <v>0</v>
      </c>
    </row>
    <row r="205" spans="1:23" ht="15.75" hidden="1" thickBot="1" x14ac:dyDescent="0.3">
      <c r="B205" t="s">
        <v>348</v>
      </c>
      <c r="C205" s="94">
        <v>100000000</v>
      </c>
      <c r="D205" s="13">
        <v>8333333.333333333</v>
      </c>
      <c r="E205" s="13"/>
      <c r="F205" s="13"/>
      <c r="G205" s="94">
        <v>100000000</v>
      </c>
      <c r="H205" s="13"/>
      <c r="I205" s="13"/>
      <c r="J205" s="13"/>
      <c r="K205" s="13"/>
      <c r="L205" s="94"/>
      <c r="U205" s="25">
        <f>SUM(H205:T205)</f>
        <v>0</v>
      </c>
    </row>
    <row r="206" spans="1:23" ht="15.75" thickBot="1" x14ac:dyDescent="0.3">
      <c r="A206" s="84"/>
      <c r="B206" s="107" t="s">
        <v>349</v>
      </c>
      <c r="C206" s="63">
        <f>+C207</f>
        <v>101300000</v>
      </c>
      <c r="D206" s="62">
        <v>8441666.666666666</v>
      </c>
      <c r="E206" s="62" t="s">
        <v>350</v>
      </c>
      <c r="F206" s="62">
        <f>+F212</f>
        <v>1823695.83</v>
      </c>
      <c r="G206" s="63">
        <f>+G207</f>
        <v>103123695.83</v>
      </c>
      <c r="H206" s="63">
        <f t="shared" ref="H206:U206" si="137">+H207</f>
        <v>3123695.82</v>
      </c>
      <c r="I206" s="63">
        <f t="shared" si="137"/>
        <v>0</v>
      </c>
      <c r="J206" s="63">
        <f t="shared" si="137"/>
        <v>0</v>
      </c>
      <c r="K206" s="63">
        <f t="shared" si="137"/>
        <v>0</v>
      </c>
      <c r="L206" s="63">
        <f t="shared" si="137"/>
        <v>0</v>
      </c>
      <c r="M206" s="63">
        <f t="shared" si="137"/>
        <v>0</v>
      </c>
      <c r="N206" s="63">
        <f t="shared" si="137"/>
        <v>0</v>
      </c>
      <c r="O206" s="63">
        <f t="shared" si="137"/>
        <v>0</v>
      </c>
      <c r="P206" s="63">
        <f t="shared" si="137"/>
        <v>0</v>
      </c>
      <c r="Q206" s="63">
        <f t="shared" si="137"/>
        <v>0</v>
      </c>
      <c r="R206" s="63">
        <f t="shared" si="137"/>
        <v>0</v>
      </c>
      <c r="S206" s="63">
        <f t="shared" si="137"/>
        <v>0</v>
      </c>
      <c r="T206" s="63">
        <f t="shared" si="137"/>
        <v>0</v>
      </c>
      <c r="U206" s="63">
        <f t="shared" si="137"/>
        <v>3123695.82</v>
      </c>
    </row>
    <row r="207" spans="1:23" s="87" customFormat="1" x14ac:dyDescent="0.25">
      <c r="B207" s="19" t="s">
        <v>72</v>
      </c>
      <c r="C207" s="76">
        <f>+C208+C210</f>
        <v>101300000</v>
      </c>
      <c r="D207" s="76">
        <v>8333333.333333333</v>
      </c>
      <c r="E207" s="76"/>
      <c r="F207" s="76"/>
      <c r="G207" s="76">
        <f>+G208+G210</f>
        <v>103123695.83</v>
      </c>
      <c r="H207" s="148">
        <f t="shared" ref="H207:U207" si="138">+H208+H210</f>
        <v>3123695.82</v>
      </c>
      <c r="I207" s="76">
        <f t="shared" si="138"/>
        <v>0</v>
      </c>
      <c r="J207" s="76">
        <f t="shared" si="138"/>
        <v>0</v>
      </c>
      <c r="K207" s="76">
        <f t="shared" si="138"/>
        <v>0</v>
      </c>
      <c r="L207" s="76">
        <f t="shared" si="138"/>
        <v>0</v>
      </c>
      <c r="M207" s="76">
        <f t="shared" si="138"/>
        <v>0</v>
      </c>
      <c r="N207" s="76">
        <f t="shared" si="138"/>
        <v>0</v>
      </c>
      <c r="O207" s="76">
        <f t="shared" si="138"/>
        <v>0</v>
      </c>
      <c r="P207" s="76">
        <f t="shared" si="138"/>
        <v>0</v>
      </c>
      <c r="Q207" s="76">
        <f t="shared" si="138"/>
        <v>0</v>
      </c>
      <c r="R207" s="76">
        <f t="shared" si="138"/>
        <v>0</v>
      </c>
      <c r="S207" s="76">
        <f t="shared" si="138"/>
        <v>0</v>
      </c>
      <c r="T207" s="76">
        <f t="shared" si="138"/>
        <v>0</v>
      </c>
      <c r="U207" s="76">
        <f t="shared" si="138"/>
        <v>3123695.82</v>
      </c>
      <c r="V207" s="129"/>
    </row>
    <row r="208" spans="1:23" s="87" customFormat="1" hidden="1" x14ac:dyDescent="0.25">
      <c r="B208" s="19" t="s">
        <v>351</v>
      </c>
      <c r="C208" s="76">
        <f>+C209</f>
        <v>100000000</v>
      </c>
      <c r="D208" s="76"/>
      <c r="E208" s="76"/>
      <c r="F208" s="76"/>
      <c r="G208" s="76">
        <f>+G209</f>
        <v>100000000</v>
      </c>
      <c r="H208" s="76">
        <f t="shared" ref="H208:U208" si="139">+H209</f>
        <v>0</v>
      </c>
      <c r="I208" s="76">
        <f t="shared" si="139"/>
        <v>0</v>
      </c>
      <c r="J208" s="76">
        <f t="shared" si="139"/>
        <v>0</v>
      </c>
      <c r="K208" s="76">
        <f t="shared" si="139"/>
        <v>0</v>
      </c>
      <c r="L208" s="76">
        <f t="shared" si="139"/>
        <v>0</v>
      </c>
      <c r="M208" s="76">
        <f t="shared" si="139"/>
        <v>0</v>
      </c>
      <c r="N208" s="76">
        <f t="shared" si="139"/>
        <v>0</v>
      </c>
      <c r="O208" s="76">
        <f t="shared" si="139"/>
        <v>0</v>
      </c>
      <c r="P208" s="76">
        <f t="shared" si="139"/>
        <v>0</v>
      </c>
      <c r="Q208" s="76">
        <f t="shared" si="139"/>
        <v>0</v>
      </c>
      <c r="R208" s="76">
        <f t="shared" si="139"/>
        <v>0</v>
      </c>
      <c r="S208" s="76">
        <f t="shared" si="139"/>
        <v>0</v>
      </c>
      <c r="T208" s="76">
        <f t="shared" si="139"/>
        <v>0</v>
      </c>
      <c r="U208" s="76">
        <f t="shared" si="139"/>
        <v>0</v>
      </c>
      <c r="V208" s="129"/>
    </row>
    <row r="209" spans="1:23" s="87" customFormat="1" hidden="1" x14ac:dyDescent="0.25">
      <c r="B209" s="87" t="s">
        <v>352</v>
      </c>
      <c r="C209" s="76">
        <v>100000000</v>
      </c>
      <c r="D209" s="76">
        <v>8333333.333333333</v>
      </c>
      <c r="E209" s="76"/>
      <c r="F209" s="76"/>
      <c r="G209" s="76">
        <v>100000000</v>
      </c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7">
        <f>SUM(H209:T209)</f>
        <v>0</v>
      </c>
      <c r="V209" s="129"/>
    </row>
    <row r="210" spans="1:23" s="87" customFormat="1" ht="15.75" thickBot="1" x14ac:dyDescent="0.3">
      <c r="B210" s="87" t="s">
        <v>353</v>
      </c>
      <c r="C210" s="76">
        <f>+C211</f>
        <v>1300000</v>
      </c>
      <c r="D210" s="76"/>
      <c r="E210" s="76"/>
      <c r="F210" s="76"/>
      <c r="G210" s="76">
        <f t="shared" ref="G210:U211" si="140">+G211</f>
        <v>3123695.83</v>
      </c>
      <c r="H210" s="76">
        <f t="shared" si="140"/>
        <v>3123695.82</v>
      </c>
      <c r="I210" s="76">
        <f t="shared" si="140"/>
        <v>0</v>
      </c>
      <c r="J210" s="76">
        <f t="shared" si="140"/>
        <v>0</v>
      </c>
      <c r="K210" s="76">
        <f t="shared" si="140"/>
        <v>0</v>
      </c>
      <c r="L210" s="76">
        <f t="shared" si="140"/>
        <v>0</v>
      </c>
      <c r="M210" s="76">
        <f t="shared" si="140"/>
        <v>0</v>
      </c>
      <c r="N210" s="76">
        <f t="shared" si="140"/>
        <v>0</v>
      </c>
      <c r="O210" s="76">
        <f t="shared" si="140"/>
        <v>0</v>
      </c>
      <c r="P210" s="76">
        <f t="shared" si="140"/>
        <v>0</v>
      </c>
      <c r="Q210" s="76">
        <f t="shared" si="140"/>
        <v>0</v>
      </c>
      <c r="R210" s="76">
        <f t="shared" si="140"/>
        <v>0</v>
      </c>
      <c r="S210" s="76">
        <f t="shared" si="140"/>
        <v>0</v>
      </c>
      <c r="T210" s="76">
        <f t="shared" si="140"/>
        <v>0</v>
      </c>
      <c r="U210" s="76">
        <f t="shared" si="140"/>
        <v>3123695.82</v>
      </c>
      <c r="V210" s="129"/>
    </row>
    <row r="211" spans="1:23" ht="15.75" hidden="1" thickBot="1" x14ac:dyDescent="0.3">
      <c r="B211" s="87" t="s">
        <v>354</v>
      </c>
      <c r="C211" s="88">
        <f t="shared" ref="C211" si="141">+C212</f>
        <v>1300000</v>
      </c>
      <c r="D211" s="76">
        <v>108333.33333333333</v>
      </c>
      <c r="E211" s="76" t="s">
        <v>355</v>
      </c>
      <c r="F211" s="76"/>
      <c r="G211" s="88">
        <f t="shared" si="140"/>
        <v>3123695.83</v>
      </c>
      <c r="H211" s="88">
        <f t="shared" si="140"/>
        <v>3123695.82</v>
      </c>
      <c r="I211" s="88">
        <f t="shared" si="140"/>
        <v>0</v>
      </c>
      <c r="J211" s="88">
        <f t="shared" si="140"/>
        <v>0</v>
      </c>
      <c r="K211" s="88">
        <f t="shared" si="140"/>
        <v>0</v>
      </c>
      <c r="L211" s="88">
        <f t="shared" si="140"/>
        <v>0</v>
      </c>
      <c r="M211" s="88">
        <f t="shared" si="140"/>
        <v>0</v>
      </c>
      <c r="N211" s="88">
        <f t="shared" si="140"/>
        <v>0</v>
      </c>
      <c r="O211" s="88">
        <f t="shared" si="140"/>
        <v>0</v>
      </c>
      <c r="P211" s="88">
        <f t="shared" si="140"/>
        <v>0</v>
      </c>
      <c r="Q211" s="88">
        <f t="shared" si="140"/>
        <v>0</v>
      </c>
      <c r="R211" s="88">
        <f t="shared" si="140"/>
        <v>0</v>
      </c>
      <c r="S211" s="88">
        <f t="shared" si="140"/>
        <v>0</v>
      </c>
      <c r="T211" s="88">
        <f t="shared" si="140"/>
        <v>0</v>
      </c>
      <c r="U211" s="88">
        <f t="shared" si="140"/>
        <v>3123695.82</v>
      </c>
    </row>
    <row r="212" spans="1:23" ht="15.75" hidden="1" thickBot="1" x14ac:dyDescent="0.3">
      <c r="B212" t="s">
        <v>356</v>
      </c>
      <c r="C212" s="13">
        <v>1300000</v>
      </c>
      <c r="D212" s="13">
        <v>108333.33333333333</v>
      </c>
      <c r="E212" s="13"/>
      <c r="F212" s="13">
        <v>1823695.83</v>
      </c>
      <c r="G212" s="13">
        <f>+C212+F212</f>
        <v>3123695.83</v>
      </c>
      <c r="H212" s="25">
        <v>3123695.82</v>
      </c>
      <c r="I212" s="25"/>
      <c r="J212" s="25"/>
      <c r="K212" s="13"/>
      <c r="L212" s="13"/>
      <c r="U212" s="25">
        <f>SUM(H212:T212)</f>
        <v>3123695.82</v>
      </c>
    </row>
    <row r="213" spans="1:23" ht="15.75" thickBot="1" x14ac:dyDescent="0.3">
      <c r="A213" s="108" t="s">
        <v>95</v>
      </c>
      <c r="B213" s="107"/>
      <c r="C213" s="63">
        <f>+C214+C221</f>
        <v>1018715219</v>
      </c>
      <c r="D213" s="62">
        <v>84892934.916666672</v>
      </c>
      <c r="E213" s="62"/>
      <c r="F213" s="62"/>
      <c r="G213" s="63">
        <f t="shared" ref="G213:U213" si="142">+G214+G221</f>
        <v>1018715219</v>
      </c>
      <c r="H213" s="63">
        <f t="shared" si="142"/>
        <v>88847862.069999993</v>
      </c>
      <c r="I213" s="63">
        <f t="shared" si="142"/>
        <v>83011281.599999994</v>
      </c>
      <c r="J213" s="63">
        <f t="shared" si="142"/>
        <v>72277398.920000002</v>
      </c>
      <c r="K213" s="63">
        <f t="shared" si="142"/>
        <v>94050469.790000007</v>
      </c>
      <c r="L213" s="63">
        <f t="shared" si="142"/>
        <v>85896422.540000007</v>
      </c>
      <c r="M213" s="63">
        <f t="shared" si="142"/>
        <v>92490719.150000006</v>
      </c>
      <c r="N213" s="63">
        <f t="shared" si="142"/>
        <v>91279394.109999999</v>
      </c>
      <c r="O213" s="63">
        <f t="shared" si="142"/>
        <v>103160861.36000001</v>
      </c>
      <c r="P213" s="63">
        <f t="shared" si="142"/>
        <v>85926376.570000008</v>
      </c>
      <c r="Q213" s="63">
        <f t="shared" si="142"/>
        <v>91203053.799999997</v>
      </c>
      <c r="R213" s="63">
        <f t="shared" si="142"/>
        <v>0</v>
      </c>
      <c r="S213" s="63">
        <f t="shared" si="142"/>
        <v>0</v>
      </c>
      <c r="T213" s="63">
        <f t="shared" si="142"/>
        <v>0</v>
      </c>
      <c r="U213" s="63">
        <f t="shared" si="142"/>
        <v>888143839.91000009</v>
      </c>
    </row>
    <row r="214" spans="1:23" ht="15.75" thickBot="1" x14ac:dyDescent="0.3">
      <c r="A214" s="84"/>
      <c r="B214" s="107" t="s">
        <v>19</v>
      </c>
      <c r="C214" s="63">
        <f>+C215+C218</f>
        <v>811715219</v>
      </c>
      <c r="D214" s="62">
        <v>67642934.916666672</v>
      </c>
      <c r="E214" s="62"/>
      <c r="F214" s="62"/>
      <c r="G214" s="63">
        <f t="shared" ref="G214:U214" si="143">+G215+G218</f>
        <v>811715219</v>
      </c>
      <c r="H214" s="63">
        <f t="shared" si="143"/>
        <v>67642934.920000002</v>
      </c>
      <c r="I214" s="63">
        <f t="shared" si="143"/>
        <v>67642934.920000002</v>
      </c>
      <c r="J214" s="63">
        <f t="shared" si="143"/>
        <v>67642934.920000002</v>
      </c>
      <c r="K214" s="63">
        <f t="shared" si="143"/>
        <v>67642934.920000002</v>
      </c>
      <c r="L214" s="63">
        <f t="shared" si="143"/>
        <v>67642934.920000002</v>
      </c>
      <c r="M214" s="63">
        <f t="shared" si="143"/>
        <v>67642934.920000002</v>
      </c>
      <c r="N214" s="63">
        <f t="shared" si="143"/>
        <v>67642934.920000002</v>
      </c>
      <c r="O214" s="63">
        <f t="shared" si="143"/>
        <v>67642934.920000002</v>
      </c>
      <c r="P214" s="63">
        <f t="shared" si="143"/>
        <v>67642934.920000002</v>
      </c>
      <c r="Q214" s="63">
        <f t="shared" si="143"/>
        <v>67642934.920000002</v>
      </c>
      <c r="R214" s="63">
        <f t="shared" si="143"/>
        <v>0</v>
      </c>
      <c r="S214" s="63">
        <f t="shared" si="143"/>
        <v>0</v>
      </c>
      <c r="T214" s="63">
        <f t="shared" si="143"/>
        <v>0</v>
      </c>
      <c r="U214" s="63">
        <f t="shared" si="143"/>
        <v>676429349.20000005</v>
      </c>
    </row>
    <row r="215" spans="1:23" x14ac:dyDescent="0.25">
      <c r="B215" s="16" t="s">
        <v>20</v>
      </c>
      <c r="C215" s="30">
        <f>+C217</f>
        <v>400715219</v>
      </c>
      <c r="D215" s="110">
        <v>33392934.916666668</v>
      </c>
      <c r="E215" s="110"/>
      <c r="F215" s="110"/>
      <c r="G215" s="30">
        <f t="shared" ref="G215:U215" si="144">+G217</f>
        <v>400715219</v>
      </c>
      <c r="H215" s="30">
        <f t="shared" si="144"/>
        <v>33392934.920000002</v>
      </c>
      <c r="I215" s="30">
        <f t="shared" si="144"/>
        <v>33392934.920000002</v>
      </c>
      <c r="J215" s="30">
        <f t="shared" si="144"/>
        <v>33392934.920000002</v>
      </c>
      <c r="K215" s="30">
        <f t="shared" si="144"/>
        <v>33392934.920000002</v>
      </c>
      <c r="L215" s="30">
        <f t="shared" si="144"/>
        <v>33392934.920000002</v>
      </c>
      <c r="M215" s="30">
        <f t="shared" si="144"/>
        <v>33392934.920000002</v>
      </c>
      <c r="N215" s="30">
        <f t="shared" si="144"/>
        <v>33392934.920000002</v>
      </c>
      <c r="O215" s="30">
        <f t="shared" si="144"/>
        <v>33392934.920000002</v>
      </c>
      <c r="P215" s="30">
        <f t="shared" si="144"/>
        <v>33392934.920000002</v>
      </c>
      <c r="Q215" s="30">
        <f t="shared" si="144"/>
        <v>33392934.920000002</v>
      </c>
      <c r="R215" s="30">
        <f t="shared" si="144"/>
        <v>0</v>
      </c>
      <c r="S215" s="30">
        <f t="shared" si="144"/>
        <v>0</v>
      </c>
      <c r="T215" s="30">
        <f t="shared" si="144"/>
        <v>0</v>
      </c>
      <c r="U215" s="30">
        <f t="shared" si="144"/>
        <v>333929349.20000011</v>
      </c>
      <c r="V215" s="142"/>
    </row>
    <row r="216" spans="1:23" hidden="1" x14ac:dyDescent="0.25">
      <c r="B216" s="137" t="s">
        <v>357</v>
      </c>
      <c r="C216" s="30">
        <f>+C217</f>
        <v>400715219</v>
      </c>
      <c r="D216" s="110"/>
      <c r="E216" s="110"/>
      <c r="F216" s="110"/>
      <c r="G216" s="30">
        <f t="shared" ref="G216:U216" si="145">+G217</f>
        <v>400715219</v>
      </c>
      <c r="H216" s="30">
        <f t="shared" si="145"/>
        <v>33392934.920000002</v>
      </c>
      <c r="I216" s="30">
        <f t="shared" si="145"/>
        <v>33392934.920000002</v>
      </c>
      <c r="J216" s="30">
        <f t="shared" si="145"/>
        <v>33392934.920000002</v>
      </c>
      <c r="K216" s="30">
        <f t="shared" si="145"/>
        <v>33392934.920000002</v>
      </c>
      <c r="L216" s="30">
        <f t="shared" si="145"/>
        <v>33392934.920000002</v>
      </c>
      <c r="M216" s="30">
        <f t="shared" si="145"/>
        <v>33392934.920000002</v>
      </c>
      <c r="N216" s="30">
        <f t="shared" si="145"/>
        <v>33392934.920000002</v>
      </c>
      <c r="O216" s="30">
        <f t="shared" si="145"/>
        <v>33392934.920000002</v>
      </c>
      <c r="P216" s="30">
        <f t="shared" si="145"/>
        <v>33392934.920000002</v>
      </c>
      <c r="Q216" s="30">
        <f t="shared" si="145"/>
        <v>33392934.920000002</v>
      </c>
      <c r="R216" s="30">
        <f t="shared" si="145"/>
        <v>0</v>
      </c>
      <c r="S216" s="30">
        <f t="shared" si="145"/>
        <v>0</v>
      </c>
      <c r="T216" s="30">
        <f t="shared" si="145"/>
        <v>0</v>
      </c>
      <c r="U216" s="30">
        <f t="shared" si="145"/>
        <v>333929349.20000011</v>
      </c>
      <c r="V216" s="142"/>
    </row>
    <row r="217" spans="1:23" hidden="1" x14ac:dyDescent="0.25">
      <c r="B217" t="s">
        <v>358</v>
      </c>
      <c r="C217" s="30">
        <v>400715219</v>
      </c>
      <c r="D217" s="110">
        <v>33392934.916666668</v>
      </c>
      <c r="E217" s="110"/>
      <c r="F217" s="110"/>
      <c r="G217" s="30">
        <v>400715219</v>
      </c>
      <c r="H217" s="110">
        <v>33392934.920000002</v>
      </c>
      <c r="I217" s="110">
        <v>33392934.920000002</v>
      </c>
      <c r="J217" s="110">
        <v>33392934.920000002</v>
      </c>
      <c r="K217" s="110">
        <v>33392934.920000002</v>
      </c>
      <c r="L217" s="30">
        <v>33392934.920000002</v>
      </c>
      <c r="M217" s="110">
        <v>33392934.920000002</v>
      </c>
      <c r="N217" s="110">
        <v>33392934.920000002</v>
      </c>
      <c r="O217" s="110">
        <v>33392934.920000002</v>
      </c>
      <c r="P217" s="110">
        <v>33392934.920000002</v>
      </c>
      <c r="Q217" s="110">
        <v>33392934.920000002</v>
      </c>
      <c r="R217" s="110"/>
      <c r="S217" s="110"/>
      <c r="T217" s="110"/>
      <c r="U217" s="30">
        <f>SUM(H217:T217)</f>
        <v>333929349.20000011</v>
      </c>
      <c r="V217" s="142"/>
    </row>
    <row r="218" spans="1:23" ht="15.75" thickBot="1" x14ac:dyDescent="0.3">
      <c r="B218" s="16" t="s">
        <v>24</v>
      </c>
      <c r="C218" s="30">
        <f>+C219</f>
        <v>411000000</v>
      </c>
      <c r="D218" s="110">
        <v>34250000</v>
      </c>
      <c r="E218" s="110"/>
      <c r="F218" s="110"/>
      <c r="G218" s="30">
        <f t="shared" ref="G218:U219" si="146">+G219</f>
        <v>411000000</v>
      </c>
      <c r="H218" s="30">
        <f t="shared" si="146"/>
        <v>34250000</v>
      </c>
      <c r="I218" s="30">
        <f t="shared" si="146"/>
        <v>34250000</v>
      </c>
      <c r="J218" s="30">
        <f t="shared" si="146"/>
        <v>34250000</v>
      </c>
      <c r="K218" s="30">
        <f t="shared" si="146"/>
        <v>34250000</v>
      </c>
      <c r="L218" s="30">
        <f t="shared" si="146"/>
        <v>34250000</v>
      </c>
      <c r="M218" s="30">
        <f t="shared" si="146"/>
        <v>34250000</v>
      </c>
      <c r="N218" s="30">
        <f t="shared" si="146"/>
        <v>34250000</v>
      </c>
      <c r="O218" s="30">
        <f t="shared" si="146"/>
        <v>34250000</v>
      </c>
      <c r="P218" s="30">
        <f t="shared" si="146"/>
        <v>34250000</v>
      </c>
      <c r="Q218" s="30">
        <f t="shared" si="146"/>
        <v>34250000</v>
      </c>
      <c r="R218" s="30">
        <f t="shared" si="146"/>
        <v>0</v>
      </c>
      <c r="S218" s="30">
        <f t="shared" si="146"/>
        <v>0</v>
      </c>
      <c r="T218" s="30">
        <f t="shared" si="146"/>
        <v>0</v>
      </c>
      <c r="U218" s="30">
        <f t="shared" si="146"/>
        <v>342500000</v>
      </c>
      <c r="V218" s="142"/>
      <c r="W218" s="64"/>
    </row>
    <row r="219" spans="1:23" ht="15.75" hidden="1" thickBot="1" x14ac:dyDescent="0.3">
      <c r="B219" s="19" t="s">
        <v>359</v>
      </c>
      <c r="C219" s="75">
        <f>+C220</f>
        <v>411000000</v>
      </c>
      <c r="D219" s="88"/>
      <c r="E219" s="88"/>
      <c r="F219" s="88"/>
      <c r="G219" s="75">
        <f t="shared" si="146"/>
        <v>411000000</v>
      </c>
      <c r="H219" s="75">
        <f t="shared" si="146"/>
        <v>34250000</v>
      </c>
      <c r="I219" s="75">
        <f t="shared" si="146"/>
        <v>34250000</v>
      </c>
      <c r="J219" s="75">
        <f t="shared" si="146"/>
        <v>34250000</v>
      </c>
      <c r="K219" s="75">
        <f t="shared" si="146"/>
        <v>34250000</v>
      </c>
      <c r="L219" s="75">
        <f t="shared" si="146"/>
        <v>34250000</v>
      </c>
      <c r="M219" s="75">
        <f t="shared" si="146"/>
        <v>34250000</v>
      </c>
      <c r="N219" s="75">
        <f t="shared" si="146"/>
        <v>34250000</v>
      </c>
      <c r="O219" s="75">
        <f t="shared" si="146"/>
        <v>34250000</v>
      </c>
      <c r="P219" s="75">
        <f t="shared" si="146"/>
        <v>34250000</v>
      </c>
      <c r="Q219" s="75">
        <f t="shared" si="146"/>
        <v>34250000</v>
      </c>
      <c r="R219" s="75">
        <f t="shared" si="146"/>
        <v>0</v>
      </c>
      <c r="S219" s="75">
        <f t="shared" si="146"/>
        <v>0</v>
      </c>
      <c r="T219" s="75">
        <f t="shared" si="146"/>
        <v>0</v>
      </c>
      <c r="U219" s="75">
        <f t="shared" si="146"/>
        <v>342500000</v>
      </c>
      <c r="W219" s="64"/>
    </row>
    <row r="220" spans="1:23" ht="30.75" hidden="1" thickBot="1" x14ac:dyDescent="0.3">
      <c r="B220" s="109" t="s">
        <v>360</v>
      </c>
      <c r="C220" s="94">
        <v>411000000</v>
      </c>
      <c r="D220" s="94">
        <v>34250000</v>
      </c>
      <c r="E220" s="94"/>
      <c r="F220" s="94"/>
      <c r="G220" s="94">
        <v>411000000</v>
      </c>
      <c r="H220" s="30">
        <v>34250000</v>
      </c>
      <c r="I220" s="30">
        <v>34250000</v>
      </c>
      <c r="J220" s="30">
        <v>34250000</v>
      </c>
      <c r="K220" s="30">
        <v>34250000</v>
      </c>
      <c r="L220" s="94">
        <v>34250000</v>
      </c>
      <c r="M220" s="94">
        <v>34250000</v>
      </c>
      <c r="N220" s="94">
        <v>34250000</v>
      </c>
      <c r="O220" s="94">
        <v>34250000</v>
      </c>
      <c r="P220" s="94">
        <v>34250000</v>
      </c>
      <c r="Q220" s="94">
        <v>34250000</v>
      </c>
      <c r="R220" s="94"/>
      <c r="S220" s="94"/>
      <c r="T220" s="94"/>
      <c r="U220" s="30">
        <f>SUM(H220:T220)</f>
        <v>342500000</v>
      </c>
    </row>
    <row r="221" spans="1:23" ht="15.75" thickBot="1" x14ac:dyDescent="0.3">
      <c r="A221" s="84"/>
      <c r="B221" s="107" t="s">
        <v>25</v>
      </c>
      <c r="C221" s="63">
        <f>+C222</f>
        <v>207000000</v>
      </c>
      <c r="D221" s="62">
        <v>17250000</v>
      </c>
      <c r="E221" s="45"/>
      <c r="F221" s="45"/>
      <c r="G221" s="63">
        <f>+G222</f>
        <v>207000000</v>
      </c>
      <c r="H221" s="63">
        <f t="shared" ref="H221:U221" si="147">+H222</f>
        <v>21204927.149999999</v>
      </c>
      <c r="I221" s="63">
        <f t="shared" si="147"/>
        <v>15368346.68</v>
      </c>
      <c r="J221" s="63">
        <f t="shared" si="147"/>
        <v>4634464</v>
      </c>
      <c r="K221" s="63">
        <f t="shared" si="147"/>
        <v>26407534.870000001</v>
      </c>
      <c r="L221" s="63">
        <f t="shared" si="147"/>
        <v>18253487.620000001</v>
      </c>
      <c r="M221" s="63">
        <f t="shared" si="147"/>
        <v>24847784.23</v>
      </c>
      <c r="N221" s="63">
        <f t="shared" si="147"/>
        <v>23636459.189999998</v>
      </c>
      <c r="O221" s="63">
        <f t="shared" si="147"/>
        <v>35517926.440000005</v>
      </c>
      <c r="P221" s="63">
        <f t="shared" si="147"/>
        <v>18283441.650000002</v>
      </c>
      <c r="Q221" s="63">
        <f t="shared" si="147"/>
        <v>23560118.879999999</v>
      </c>
      <c r="R221" s="63">
        <f t="shared" si="147"/>
        <v>0</v>
      </c>
      <c r="S221" s="63">
        <f t="shared" si="147"/>
        <v>0</v>
      </c>
      <c r="T221" s="63">
        <f t="shared" si="147"/>
        <v>0</v>
      </c>
      <c r="U221" s="63">
        <f t="shared" si="147"/>
        <v>211714490.71000004</v>
      </c>
    </row>
    <row r="222" spans="1:23" ht="15.75" thickBot="1" x14ac:dyDescent="0.3">
      <c r="B222" s="16" t="s">
        <v>28</v>
      </c>
      <c r="C222" s="110">
        <f>+C223+C225</f>
        <v>207000000</v>
      </c>
      <c r="D222" s="117">
        <v>17250000</v>
      </c>
      <c r="E222" s="117"/>
      <c r="F222" s="117"/>
      <c r="G222" s="110">
        <f>+G223+G225</f>
        <v>207000000</v>
      </c>
      <c r="H222" s="110">
        <f t="shared" ref="H222:U222" si="148">+H223+H225</f>
        <v>21204927.149999999</v>
      </c>
      <c r="I222" s="110">
        <f t="shared" si="148"/>
        <v>15368346.68</v>
      </c>
      <c r="J222" s="110">
        <f t="shared" si="148"/>
        <v>4634464</v>
      </c>
      <c r="K222" s="110">
        <f t="shared" si="148"/>
        <v>26407534.870000001</v>
      </c>
      <c r="L222" s="110">
        <f t="shared" si="148"/>
        <v>18253487.620000001</v>
      </c>
      <c r="M222" s="110">
        <f t="shared" si="148"/>
        <v>24847784.23</v>
      </c>
      <c r="N222" s="110">
        <f t="shared" si="148"/>
        <v>23636459.189999998</v>
      </c>
      <c r="O222" s="110">
        <f t="shared" si="148"/>
        <v>35517926.440000005</v>
      </c>
      <c r="P222" s="110">
        <f t="shared" si="148"/>
        <v>18283441.650000002</v>
      </c>
      <c r="Q222" s="110">
        <f t="shared" si="148"/>
        <v>23560118.879999999</v>
      </c>
      <c r="R222" s="110">
        <f t="shared" si="148"/>
        <v>0</v>
      </c>
      <c r="S222" s="110">
        <f t="shared" si="148"/>
        <v>0</v>
      </c>
      <c r="T222" s="110">
        <f t="shared" si="148"/>
        <v>0</v>
      </c>
      <c r="U222" s="110">
        <f t="shared" si="148"/>
        <v>211714490.71000004</v>
      </c>
      <c r="V222" s="142"/>
      <c r="W222" s="64"/>
    </row>
    <row r="223" spans="1:23" ht="15.75" hidden="1" thickBot="1" x14ac:dyDescent="0.3">
      <c r="B223" s="19" t="s">
        <v>361</v>
      </c>
      <c r="C223" s="88">
        <f>+C224</f>
        <v>182000000</v>
      </c>
      <c r="D223" s="76"/>
      <c r="E223" s="13"/>
      <c r="F223" s="13"/>
      <c r="G223" s="88">
        <f>+G224</f>
        <v>182000000</v>
      </c>
      <c r="H223" s="88">
        <f t="shared" ref="H223:U223" si="149">+H224</f>
        <v>18491599.949999999</v>
      </c>
      <c r="I223" s="88">
        <f t="shared" si="149"/>
        <v>10811817.880000001</v>
      </c>
      <c r="J223" s="88">
        <f t="shared" si="149"/>
        <v>2693000</v>
      </c>
      <c r="K223" s="88">
        <f t="shared" si="149"/>
        <v>24795663.870000001</v>
      </c>
      <c r="L223" s="88">
        <f t="shared" si="149"/>
        <v>17503989.120000001</v>
      </c>
      <c r="M223" s="88">
        <f t="shared" si="149"/>
        <v>22369818.030000001</v>
      </c>
      <c r="N223" s="88">
        <f t="shared" si="149"/>
        <v>21369022.109999999</v>
      </c>
      <c r="O223" s="88">
        <f t="shared" si="149"/>
        <v>33435683.740000002</v>
      </c>
      <c r="P223" s="88">
        <f t="shared" si="149"/>
        <v>15616015.050000001</v>
      </c>
      <c r="Q223" s="88">
        <f t="shared" si="149"/>
        <v>21229479.379999999</v>
      </c>
      <c r="R223" s="88">
        <f t="shared" si="149"/>
        <v>0</v>
      </c>
      <c r="S223" s="88">
        <f t="shared" si="149"/>
        <v>0</v>
      </c>
      <c r="T223" s="88">
        <f t="shared" si="149"/>
        <v>0</v>
      </c>
      <c r="U223" s="88">
        <f t="shared" si="149"/>
        <v>188316089.13000003</v>
      </c>
      <c r="W223" s="64"/>
    </row>
    <row r="224" spans="1:23" ht="15.75" hidden="1" thickBot="1" x14ac:dyDescent="0.3">
      <c r="B224" t="s">
        <v>362</v>
      </c>
      <c r="C224" s="13">
        <v>182000000</v>
      </c>
      <c r="D224" s="13">
        <v>15166666.666666666</v>
      </c>
      <c r="E224" s="13" t="s">
        <v>363</v>
      </c>
      <c r="F224" s="13"/>
      <c r="G224" s="13">
        <v>182000000</v>
      </c>
      <c r="H224" s="25">
        <v>18491599.949999999</v>
      </c>
      <c r="I224" s="25">
        <v>10811817.880000001</v>
      </c>
      <c r="J224" s="25">
        <v>2693000</v>
      </c>
      <c r="K224" s="25">
        <v>24795663.870000001</v>
      </c>
      <c r="L224" s="13">
        <f>+'[1]REVISIÓN MAYO 2025'!$C$41</f>
        <v>17503989.120000001</v>
      </c>
      <c r="M224" s="25">
        <v>22369818.030000001</v>
      </c>
      <c r="N224" s="74">
        <v>21369022.109999999</v>
      </c>
      <c r="O224" s="74">
        <v>33435683.740000002</v>
      </c>
      <c r="P224" s="26">
        <v>15616015.050000001</v>
      </c>
      <c r="Q224" s="73">
        <v>21229479.379999999</v>
      </c>
      <c r="R224" s="26"/>
      <c r="S224" s="26"/>
      <c r="T224" s="74"/>
      <c r="U224" s="25">
        <f>SUM(H224:T224)</f>
        <v>188316089.13000003</v>
      </c>
      <c r="W224" s="64"/>
    </row>
    <row r="225" spans="1:24" ht="15.75" hidden="1" thickBot="1" x14ac:dyDescent="0.3">
      <c r="B225" s="87" t="s">
        <v>364</v>
      </c>
      <c r="C225" s="76">
        <f>+C226</f>
        <v>25000000</v>
      </c>
      <c r="E225" s="13"/>
      <c r="F225" s="13"/>
      <c r="G225" s="76">
        <f t="shared" ref="G225:U225" si="150">+G226</f>
        <v>25000000</v>
      </c>
      <c r="H225" s="76">
        <f t="shared" si="150"/>
        <v>2713327.2</v>
      </c>
      <c r="I225" s="76">
        <f t="shared" si="150"/>
        <v>4556528.8</v>
      </c>
      <c r="J225" s="76">
        <f t="shared" si="150"/>
        <v>1941464</v>
      </c>
      <c r="K225" s="76">
        <f t="shared" si="150"/>
        <v>1611871</v>
      </c>
      <c r="L225" s="76">
        <f t="shared" si="150"/>
        <v>749498.5</v>
      </c>
      <c r="M225" s="76">
        <f t="shared" si="150"/>
        <v>2477966.2000000002</v>
      </c>
      <c r="N225" s="76">
        <f t="shared" si="150"/>
        <v>2267437.08</v>
      </c>
      <c r="O225" s="76">
        <f t="shared" si="150"/>
        <v>2082242.7</v>
      </c>
      <c r="P225" s="76">
        <f t="shared" si="150"/>
        <v>2667426.6</v>
      </c>
      <c r="Q225" s="76">
        <f t="shared" si="150"/>
        <v>2330639.5</v>
      </c>
      <c r="R225" s="76">
        <f t="shared" si="150"/>
        <v>0</v>
      </c>
      <c r="S225" s="76">
        <f t="shared" si="150"/>
        <v>0</v>
      </c>
      <c r="T225" s="76">
        <f t="shared" si="150"/>
        <v>0</v>
      </c>
      <c r="U225" s="76">
        <f t="shared" si="150"/>
        <v>23398401.580000002</v>
      </c>
      <c r="W225" s="64"/>
    </row>
    <row r="226" spans="1:24" ht="15.75" hidden="1" thickBot="1" x14ac:dyDescent="0.3">
      <c r="B226" t="s">
        <v>365</v>
      </c>
      <c r="C226" s="13">
        <v>25000000</v>
      </c>
      <c r="D226" s="13">
        <v>2083333.3333333333</v>
      </c>
      <c r="E226" s="13" t="s">
        <v>366</v>
      </c>
      <c r="F226" s="13"/>
      <c r="G226" s="13">
        <v>25000000</v>
      </c>
      <c r="H226" s="25">
        <v>2713327.2</v>
      </c>
      <c r="I226" s="25">
        <v>4556528.8</v>
      </c>
      <c r="J226" s="25">
        <v>1941464</v>
      </c>
      <c r="K226" s="25">
        <v>1611871</v>
      </c>
      <c r="L226" s="13">
        <f>+'[1]REVISIÓN MAYO 2025'!$C$44</f>
        <v>749498.5</v>
      </c>
      <c r="M226" s="25">
        <v>2477966.2000000002</v>
      </c>
      <c r="N226" s="74">
        <v>2267437.08</v>
      </c>
      <c r="O226" s="74">
        <v>2082242.7</v>
      </c>
      <c r="P226" s="26">
        <v>2667426.6</v>
      </c>
      <c r="Q226" s="106">
        <v>2330639.5</v>
      </c>
      <c r="R226" s="26"/>
      <c r="S226" s="26"/>
      <c r="T226" s="74"/>
      <c r="U226" s="25">
        <f>SUM(H226:T226)</f>
        <v>23398401.580000002</v>
      </c>
    </row>
    <row r="227" spans="1:24" ht="15.75" thickBot="1" x14ac:dyDescent="0.3">
      <c r="A227" s="108" t="s">
        <v>97</v>
      </c>
      <c r="B227" s="107"/>
      <c r="C227" s="63">
        <f>+C228+C238+C260+C266+C263</f>
        <v>192942131</v>
      </c>
      <c r="D227" s="62">
        <v>11025324.8333333</v>
      </c>
      <c r="E227" s="45"/>
      <c r="F227" s="45"/>
      <c r="G227" s="63">
        <f>+G228+G238+G260+G266+G263</f>
        <v>192942131</v>
      </c>
      <c r="H227" s="63">
        <f t="shared" ref="H227:P227" si="151">+H228+H238+H260+H266+H263</f>
        <v>15924052.503333334</v>
      </c>
      <c r="I227" s="63">
        <f t="shared" si="151"/>
        <v>15995440.876333334</v>
      </c>
      <c r="J227" s="63">
        <f t="shared" si="151"/>
        <v>16130285.590000004</v>
      </c>
      <c r="K227" s="63">
        <f t="shared" si="151"/>
        <v>15844732.083333334</v>
      </c>
      <c r="L227" s="63">
        <f t="shared" si="151"/>
        <v>16095350.213333335</v>
      </c>
      <c r="M227" s="63">
        <f t="shared" si="151"/>
        <v>15844732.083333334</v>
      </c>
      <c r="N227" s="63">
        <f t="shared" si="151"/>
        <v>15916120.463333335</v>
      </c>
      <c r="O227" s="63">
        <f t="shared" si="151"/>
        <v>16098557.433333334</v>
      </c>
      <c r="P227" s="63">
        <f t="shared" si="151"/>
        <v>15955780.673333334</v>
      </c>
      <c r="Q227" s="63">
        <f>+Q228+Q238+Q260+Q266+Q263</f>
        <v>16193741.903333334</v>
      </c>
      <c r="R227" s="63">
        <f t="shared" ref="R227:U227" si="152">+R228+R238+R260+R266+R263</f>
        <v>0</v>
      </c>
      <c r="S227" s="63">
        <f t="shared" si="152"/>
        <v>0</v>
      </c>
      <c r="T227" s="63">
        <f t="shared" si="152"/>
        <v>0</v>
      </c>
      <c r="U227" s="63">
        <f t="shared" si="152"/>
        <v>159998793.82300001</v>
      </c>
      <c r="W227" s="52"/>
      <c r="X227" s="52"/>
    </row>
    <row r="228" spans="1:24" ht="15.75" thickBot="1" x14ac:dyDescent="0.3">
      <c r="A228" s="84"/>
      <c r="B228" s="107" t="s">
        <v>19</v>
      </c>
      <c r="C228" s="63">
        <f>+C229+C232+C235</f>
        <v>41309809</v>
      </c>
      <c r="D228" s="62">
        <v>3442484.0833333335</v>
      </c>
      <c r="E228" s="45"/>
      <c r="F228" s="45"/>
      <c r="G228" s="63">
        <f>+G229+G232+G235</f>
        <v>41309809</v>
      </c>
      <c r="H228" s="63">
        <f t="shared" ref="H228:O228" si="153">+H229+H232+H235</f>
        <v>3442484.0833333335</v>
      </c>
      <c r="I228" s="63">
        <f t="shared" si="153"/>
        <v>3442484.0833333335</v>
      </c>
      <c r="J228" s="63">
        <f t="shared" si="153"/>
        <v>3442484.0833333335</v>
      </c>
      <c r="K228" s="63">
        <f t="shared" si="153"/>
        <v>3442484.0833333335</v>
      </c>
      <c r="L228" s="63">
        <f t="shared" si="153"/>
        <v>3442484.0833333335</v>
      </c>
      <c r="M228" s="63">
        <f t="shared" si="153"/>
        <v>3442484.0833333335</v>
      </c>
      <c r="N228" s="63">
        <f t="shared" si="153"/>
        <v>3442484.0833333335</v>
      </c>
      <c r="O228" s="63">
        <f t="shared" si="153"/>
        <v>3442484.0833333335</v>
      </c>
      <c r="P228" s="63">
        <f>+P229+P232+P235</f>
        <v>3442484.0833333335</v>
      </c>
      <c r="Q228" s="63">
        <f t="shared" ref="Q228:U228" si="154">+Q229+Q232+Q235</f>
        <v>3442484.0833333335</v>
      </c>
      <c r="R228" s="63">
        <f t="shared" si="154"/>
        <v>0</v>
      </c>
      <c r="S228" s="63">
        <f t="shared" si="154"/>
        <v>0</v>
      </c>
      <c r="T228" s="63">
        <f t="shared" si="154"/>
        <v>0</v>
      </c>
      <c r="U228" s="63">
        <f t="shared" si="154"/>
        <v>34424840.833333328</v>
      </c>
    </row>
    <row r="229" spans="1:24" x14ac:dyDescent="0.25">
      <c r="B229" s="16" t="s">
        <v>20</v>
      </c>
      <c r="C229" s="110">
        <f>+C231</f>
        <v>31506316</v>
      </c>
      <c r="D229" s="117">
        <v>2625526.3333333335</v>
      </c>
      <c r="E229" s="117"/>
      <c r="F229" s="117"/>
      <c r="G229" s="110">
        <f>+G231</f>
        <v>31506316</v>
      </c>
      <c r="H229" s="110">
        <f t="shared" ref="H229:U229" si="155">+H231</f>
        <v>2625526.3333333335</v>
      </c>
      <c r="I229" s="110">
        <f t="shared" si="155"/>
        <v>2625526.3333333335</v>
      </c>
      <c r="J229" s="110">
        <f t="shared" si="155"/>
        <v>2625526.3333333335</v>
      </c>
      <c r="K229" s="110">
        <f t="shared" si="155"/>
        <v>2625526.3333333335</v>
      </c>
      <c r="L229" s="110">
        <f t="shared" si="155"/>
        <v>2625526.3333333335</v>
      </c>
      <c r="M229" s="110">
        <f t="shared" si="155"/>
        <v>2625526.3333333335</v>
      </c>
      <c r="N229" s="110">
        <f t="shared" si="155"/>
        <v>2625526.3333333335</v>
      </c>
      <c r="O229" s="110">
        <f t="shared" si="155"/>
        <v>2625526.3333333335</v>
      </c>
      <c r="P229" s="110">
        <f t="shared" si="155"/>
        <v>2625526.3333333335</v>
      </c>
      <c r="Q229" s="110">
        <f t="shared" si="155"/>
        <v>2625526.3333333335</v>
      </c>
      <c r="R229" s="110">
        <f t="shared" si="155"/>
        <v>0</v>
      </c>
      <c r="S229" s="110">
        <f t="shared" si="155"/>
        <v>0</v>
      </c>
      <c r="T229" s="110">
        <f t="shared" si="155"/>
        <v>0</v>
      </c>
      <c r="U229" s="110">
        <f t="shared" si="155"/>
        <v>26255263.333333332</v>
      </c>
      <c r="V229" s="142"/>
    </row>
    <row r="230" spans="1:24" hidden="1" x14ac:dyDescent="0.25">
      <c r="B230" s="137" t="s">
        <v>357</v>
      </c>
      <c r="C230" s="110">
        <f>+C231</f>
        <v>31506316</v>
      </c>
      <c r="D230" s="117"/>
      <c r="E230" s="117"/>
      <c r="F230" s="117"/>
      <c r="G230" s="110">
        <f>+G231</f>
        <v>31506316</v>
      </c>
      <c r="H230" s="110">
        <f t="shared" ref="H230:U230" si="156">+H231</f>
        <v>2625526.3333333335</v>
      </c>
      <c r="I230" s="110">
        <f t="shared" si="156"/>
        <v>2625526.3333333335</v>
      </c>
      <c r="J230" s="110">
        <f t="shared" si="156"/>
        <v>2625526.3333333335</v>
      </c>
      <c r="K230" s="110">
        <f t="shared" si="156"/>
        <v>2625526.3333333335</v>
      </c>
      <c r="L230" s="110">
        <f t="shared" si="156"/>
        <v>2625526.3333333335</v>
      </c>
      <c r="M230" s="110">
        <f t="shared" si="156"/>
        <v>2625526.3333333335</v>
      </c>
      <c r="N230" s="110">
        <f t="shared" si="156"/>
        <v>2625526.3333333335</v>
      </c>
      <c r="O230" s="110">
        <f t="shared" si="156"/>
        <v>2625526.3333333335</v>
      </c>
      <c r="P230" s="110">
        <f t="shared" si="156"/>
        <v>2625526.3333333335</v>
      </c>
      <c r="Q230" s="110">
        <f t="shared" si="156"/>
        <v>2625526.3333333335</v>
      </c>
      <c r="R230" s="110">
        <f t="shared" si="156"/>
        <v>0</v>
      </c>
      <c r="S230" s="110">
        <f t="shared" si="156"/>
        <v>0</v>
      </c>
      <c r="T230" s="110">
        <f t="shared" si="156"/>
        <v>0</v>
      </c>
      <c r="U230" s="110">
        <f t="shared" si="156"/>
        <v>26255263.333333332</v>
      </c>
      <c r="V230" s="142"/>
    </row>
    <row r="231" spans="1:24" hidden="1" x14ac:dyDescent="0.25">
      <c r="B231" t="s">
        <v>367</v>
      </c>
      <c r="C231" s="117">
        <v>31506316</v>
      </c>
      <c r="D231" s="117">
        <v>2625526.3333333335</v>
      </c>
      <c r="E231" s="117"/>
      <c r="F231" s="117"/>
      <c r="G231" s="117">
        <v>31506316</v>
      </c>
      <c r="H231" s="117">
        <v>2625526.3333333335</v>
      </c>
      <c r="I231" s="117">
        <v>2625526.3333333335</v>
      </c>
      <c r="J231" s="117">
        <v>2625526.3333333335</v>
      </c>
      <c r="K231" s="117">
        <v>2625526.3333333335</v>
      </c>
      <c r="L231" s="117">
        <v>2625526.3333333335</v>
      </c>
      <c r="M231" s="117">
        <v>2625526.3333333335</v>
      </c>
      <c r="N231" s="117">
        <v>2625526.3333333335</v>
      </c>
      <c r="O231" s="117">
        <v>2625526.3333333335</v>
      </c>
      <c r="P231" s="117">
        <v>2625526.3333333335</v>
      </c>
      <c r="Q231" s="117">
        <v>2625526.3333333335</v>
      </c>
      <c r="R231" s="117"/>
      <c r="S231" s="117"/>
      <c r="T231" s="117"/>
      <c r="U231" s="25">
        <f>SUM(H231:T231)</f>
        <v>26255263.333333332</v>
      </c>
      <c r="V231" s="142"/>
    </row>
    <row r="232" spans="1:24" x14ac:dyDescent="0.25">
      <c r="B232" s="16" t="s">
        <v>21</v>
      </c>
      <c r="C232" s="110">
        <f t="shared" ref="C232:U232" si="157">+C234</f>
        <v>2625693</v>
      </c>
      <c r="D232" s="117">
        <f t="shared" si="157"/>
        <v>218807.75</v>
      </c>
      <c r="E232" s="117">
        <f t="shared" si="157"/>
        <v>0</v>
      </c>
      <c r="F232" s="117"/>
      <c r="G232" s="110">
        <f t="shared" si="157"/>
        <v>2625693</v>
      </c>
      <c r="H232" s="110">
        <f t="shared" si="157"/>
        <v>218807.75</v>
      </c>
      <c r="I232" s="110">
        <f t="shared" si="157"/>
        <v>218807.75</v>
      </c>
      <c r="J232" s="110">
        <f t="shared" si="157"/>
        <v>218807.75</v>
      </c>
      <c r="K232" s="110">
        <f t="shared" si="157"/>
        <v>218807.75</v>
      </c>
      <c r="L232" s="110">
        <f t="shared" si="157"/>
        <v>218807.75</v>
      </c>
      <c r="M232" s="110">
        <f t="shared" si="157"/>
        <v>218807.75</v>
      </c>
      <c r="N232" s="110">
        <f t="shared" si="157"/>
        <v>218807.75</v>
      </c>
      <c r="O232" s="110">
        <f t="shared" si="157"/>
        <v>218807.75</v>
      </c>
      <c r="P232" s="110">
        <f t="shared" si="157"/>
        <v>218807.75</v>
      </c>
      <c r="Q232" s="110">
        <f t="shared" si="157"/>
        <v>218807.75</v>
      </c>
      <c r="R232" s="110">
        <f t="shared" si="157"/>
        <v>0</v>
      </c>
      <c r="S232" s="110">
        <f t="shared" si="157"/>
        <v>0</v>
      </c>
      <c r="T232" s="110">
        <f t="shared" si="157"/>
        <v>0</v>
      </c>
      <c r="U232" s="110">
        <f t="shared" si="157"/>
        <v>2188077.5</v>
      </c>
      <c r="V232" s="142"/>
    </row>
    <row r="233" spans="1:24" hidden="1" x14ac:dyDescent="0.25">
      <c r="B233" s="16" t="s">
        <v>368</v>
      </c>
      <c r="C233" s="110">
        <f>+C234</f>
        <v>2625693</v>
      </c>
      <c r="D233" s="117"/>
      <c r="E233" s="117"/>
      <c r="F233" s="117"/>
      <c r="G233" s="110">
        <f t="shared" ref="G233:U233" si="158">+G234</f>
        <v>2625693</v>
      </c>
      <c r="H233" s="110">
        <f t="shared" si="158"/>
        <v>218807.75</v>
      </c>
      <c r="I233" s="110">
        <f t="shared" si="158"/>
        <v>218807.75</v>
      </c>
      <c r="J233" s="110">
        <f t="shared" si="158"/>
        <v>218807.75</v>
      </c>
      <c r="K233" s="110">
        <f t="shared" si="158"/>
        <v>218807.75</v>
      </c>
      <c r="L233" s="110">
        <f t="shared" si="158"/>
        <v>218807.75</v>
      </c>
      <c r="M233" s="110">
        <f t="shared" si="158"/>
        <v>218807.75</v>
      </c>
      <c r="N233" s="110">
        <f t="shared" si="158"/>
        <v>218807.75</v>
      </c>
      <c r="O233" s="110">
        <f t="shared" si="158"/>
        <v>218807.75</v>
      </c>
      <c r="P233" s="110">
        <f t="shared" si="158"/>
        <v>218807.75</v>
      </c>
      <c r="Q233" s="110">
        <f t="shared" si="158"/>
        <v>218807.75</v>
      </c>
      <c r="R233" s="110">
        <f t="shared" si="158"/>
        <v>0</v>
      </c>
      <c r="S233" s="110">
        <f t="shared" si="158"/>
        <v>0</v>
      </c>
      <c r="T233" s="110">
        <f t="shared" si="158"/>
        <v>0</v>
      </c>
      <c r="U233" s="110">
        <f t="shared" si="158"/>
        <v>2188077.5</v>
      </c>
      <c r="V233" s="142"/>
    </row>
    <row r="234" spans="1:24" hidden="1" x14ac:dyDescent="0.25">
      <c r="B234" t="s">
        <v>369</v>
      </c>
      <c r="C234" s="117">
        <v>2625693</v>
      </c>
      <c r="D234" s="117">
        <v>218807.75</v>
      </c>
      <c r="E234" s="117"/>
      <c r="F234" s="117"/>
      <c r="G234" s="117">
        <v>2625693</v>
      </c>
      <c r="H234" s="117">
        <v>218807.75</v>
      </c>
      <c r="I234" s="117">
        <v>218807.75</v>
      </c>
      <c r="J234" s="117">
        <v>218807.75</v>
      </c>
      <c r="K234" s="117">
        <v>218807.75</v>
      </c>
      <c r="L234" s="117">
        <v>218807.75</v>
      </c>
      <c r="M234" s="117">
        <v>218807.75</v>
      </c>
      <c r="N234" s="117">
        <v>218807.75</v>
      </c>
      <c r="O234" s="117">
        <v>218807.75</v>
      </c>
      <c r="P234" s="117">
        <v>218807.75</v>
      </c>
      <c r="Q234" s="117">
        <v>218807.75</v>
      </c>
      <c r="R234" s="117"/>
      <c r="S234" s="117"/>
      <c r="T234" s="117"/>
      <c r="U234" s="25">
        <f>SUM(H234:T234)</f>
        <v>2188077.5</v>
      </c>
      <c r="V234" s="142"/>
    </row>
    <row r="235" spans="1:24" ht="15.75" thickBot="1" x14ac:dyDescent="0.3">
      <c r="B235" s="16" t="s">
        <v>24</v>
      </c>
      <c r="C235" s="110">
        <f>+C236</f>
        <v>7177800</v>
      </c>
      <c r="D235" s="117">
        <f>+D237</f>
        <v>598150</v>
      </c>
      <c r="E235" s="117"/>
      <c r="F235" s="117"/>
      <c r="G235" s="110">
        <f>+G236</f>
        <v>7177800</v>
      </c>
      <c r="H235" s="110">
        <f t="shared" ref="H235:U236" si="159">+H236</f>
        <v>598150</v>
      </c>
      <c r="I235" s="110">
        <f t="shared" si="159"/>
        <v>598150</v>
      </c>
      <c r="J235" s="110">
        <f t="shared" si="159"/>
        <v>598150</v>
      </c>
      <c r="K235" s="110">
        <f t="shared" si="159"/>
        <v>598150</v>
      </c>
      <c r="L235" s="110">
        <f t="shared" si="159"/>
        <v>598150</v>
      </c>
      <c r="M235" s="110">
        <f t="shared" si="159"/>
        <v>598150</v>
      </c>
      <c r="N235" s="110">
        <f t="shared" si="159"/>
        <v>598150</v>
      </c>
      <c r="O235" s="110">
        <f t="shared" si="159"/>
        <v>598150</v>
      </c>
      <c r="P235" s="110">
        <f t="shared" si="159"/>
        <v>598150</v>
      </c>
      <c r="Q235" s="110">
        <f t="shared" si="159"/>
        <v>598150</v>
      </c>
      <c r="R235" s="110">
        <f t="shared" si="159"/>
        <v>0</v>
      </c>
      <c r="S235" s="110">
        <f t="shared" si="159"/>
        <v>0</v>
      </c>
      <c r="T235" s="110">
        <f t="shared" si="159"/>
        <v>0</v>
      </c>
      <c r="U235" s="110">
        <f t="shared" si="159"/>
        <v>5981500</v>
      </c>
      <c r="V235" s="142"/>
    </row>
    <row r="236" spans="1:24" ht="15.75" hidden="1" thickBot="1" x14ac:dyDescent="0.3">
      <c r="B236" s="19" t="s">
        <v>370</v>
      </c>
      <c r="C236" s="88">
        <f>+C237</f>
        <v>7177800</v>
      </c>
      <c r="D236" s="76"/>
      <c r="E236" s="76"/>
      <c r="F236" s="76"/>
      <c r="G236" s="88">
        <f>+G237</f>
        <v>7177800</v>
      </c>
      <c r="H236" s="88">
        <f t="shared" si="159"/>
        <v>598150</v>
      </c>
      <c r="I236" s="88">
        <f t="shared" si="159"/>
        <v>598150</v>
      </c>
      <c r="J236" s="88">
        <f t="shared" si="159"/>
        <v>598150</v>
      </c>
      <c r="K236" s="88">
        <f t="shared" si="159"/>
        <v>598150</v>
      </c>
      <c r="L236" s="88">
        <f t="shared" si="159"/>
        <v>598150</v>
      </c>
      <c r="M236" s="88">
        <f t="shared" si="159"/>
        <v>598150</v>
      </c>
      <c r="N236" s="88">
        <f t="shared" si="159"/>
        <v>598150</v>
      </c>
      <c r="O236" s="88">
        <f t="shared" si="159"/>
        <v>598150</v>
      </c>
      <c r="P236" s="88">
        <f t="shared" si="159"/>
        <v>598150</v>
      </c>
      <c r="Q236" s="88">
        <f t="shared" si="159"/>
        <v>598150</v>
      </c>
      <c r="R236" s="88">
        <f t="shared" si="159"/>
        <v>0</v>
      </c>
      <c r="S236" s="88">
        <f t="shared" si="159"/>
        <v>0</v>
      </c>
      <c r="T236" s="88">
        <f t="shared" si="159"/>
        <v>0</v>
      </c>
      <c r="U236" s="88">
        <f t="shared" si="159"/>
        <v>5981500</v>
      </c>
    </row>
    <row r="237" spans="1:24" ht="15.75" hidden="1" thickBot="1" x14ac:dyDescent="0.3">
      <c r="B237" t="s">
        <v>157</v>
      </c>
      <c r="C237" s="13">
        <v>7177800</v>
      </c>
      <c r="D237" s="13">
        <v>598150</v>
      </c>
      <c r="E237" s="13"/>
      <c r="F237" s="13"/>
      <c r="G237" s="13">
        <v>7177800</v>
      </c>
      <c r="H237" s="13">
        <v>598150</v>
      </c>
      <c r="I237" s="13">
        <v>598150</v>
      </c>
      <c r="J237" s="13">
        <v>598150</v>
      </c>
      <c r="K237" s="13">
        <v>598150</v>
      </c>
      <c r="L237" s="13">
        <v>598150</v>
      </c>
      <c r="M237" s="13">
        <v>598150</v>
      </c>
      <c r="N237" s="13">
        <v>598150</v>
      </c>
      <c r="O237" s="13">
        <v>598150</v>
      </c>
      <c r="P237" s="13">
        <v>598150</v>
      </c>
      <c r="Q237" s="13">
        <v>598150</v>
      </c>
      <c r="U237" s="25">
        <f>SUM(H237:T237)</f>
        <v>5981500</v>
      </c>
    </row>
    <row r="238" spans="1:24" ht="15.75" thickBot="1" x14ac:dyDescent="0.3">
      <c r="A238" s="84"/>
      <c r="B238" s="107" t="s">
        <v>25</v>
      </c>
      <c r="C238" s="63">
        <f t="shared" ref="C238" si="160">+C239+C248+C256+C253</f>
        <v>46428360</v>
      </c>
      <c r="D238" s="62">
        <v>3869030</v>
      </c>
      <c r="E238" s="62"/>
      <c r="F238" s="62"/>
      <c r="G238" s="63">
        <f t="shared" ref="G238:U238" si="161">+G239+G248+G256+G253</f>
        <v>46428360</v>
      </c>
      <c r="H238" s="63">
        <f t="shared" si="161"/>
        <v>3869030</v>
      </c>
      <c r="I238" s="63">
        <f t="shared" si="161"/>
        <v>3869030</v>
      </c>
      <c r="J238" s="63">
        <f t="shared" si="161"/>
        <v>3869030</v>
      </c>
      <c r="K238" s="63">
        <f t="shared" si="161"/>
        <v>3869030</v>
      </c>
      <c r="L238" s="63">
        <f t="shared" si="161"/>
        <v>3869030</v>
      </c>
      <c r="M238" s="63">
        <f t="shared" si="161"/>
        <v>3869030</v>
      </c>
      <c r="N238" s="63">
        <f t="shared" si="161"/>
        <v>3869030</v>
      </c>
      <c r="O238" s="63">
        <f t="shared" si="161"/>
        <v>3869030</v>
      </c>
      <c r="P238" s="63">
        <f t="shared" si="161"/>
        <v>3869030.1</v>
      </c>
      <c r="Q238" s="63">
        <f t="shared" si="161"/>
        <v>3869030.1</v>
      </c>
      <c r="R238" s="63">
        <f t="shared" si="161"/>
        <v>0</v>
      </c>
      <c r="S238" s="63">
        <f t="shared" si="161"/>
        <v>0</v>
      </c>
      <c r="T238" s="63">
        <f t="shared" si="161"/>
        <v>0</v>
      </c>
      <c r="U238" s="63">
        <f t="shared" si="161"/>
        <v>38690300.200000003</v>
      </c>
    </row>
    <row r="239" spans="1:24" x14ac:dyDescent="0.25">
      <c r="B239" s="16" t="s">
        <v>26</v>
      </c>
      <c r="C239" s="110">
        <f>+C240+C242+C244+C246</f>
        <v>851908</v>
      </c>
      <c r="D239" s="117">
        <f>SUM(D241:D247)</f>
        <v>70992.333333333328</v>
      </c>
      <c r="E239" s="117"/>
      <c r="F239" s="117"/>
      <c r="G239" s="110">
        <f t="shared" ref="G239:U239" si="162">+G240+G242+G244+G246</f>
        <v>851908</v>
      </c>
      <c r="H239" s="110">
        <f t="shared" si="162"/>
        <v>70992.333333333328</v>
      </c>
      <c r="I239" s="110">
        <f t="shared" si="162"/>
        <v>70992.333333333328</v>
      </c>
      <c r="J239" s="110">
        <f t="shared" si="162"/>
        <v>70992.333333333328</v>
      </c>
      <c r="K239" s="110">
        <f t="shared" si="162"/>
        <v>70992.333333333328</v>
      </c>
      <c r="L239" s="110">
        <f t="shared" si="162"/>
        <v>70992.333333333299</v>
      </c>
      <c r="M239" s="110">
        <f t="shared" si="162"/>
        <v>70992.333333333299</v>
      </c>
      <c r="N239" s="110">
        <f t="shared" si="162"/>
        <v>70992.333333333299</v>
      </c>
      <c r="O239" s="110">
        <f t="shared" si="162"/>
        <v>70992.333333333299</v>
      </c>
      <c r="P239" s="110">
        <f t="shared" si="162"/>
        <v>70992.333333333328</v>
      </c>
      <c r="Q239" s="110">
        <f t="shared" si="162"/>
        <v>70992.333333333328</v>
      </c>
      <c r="R239" s="110">
        <f t="shared" si="162"/>
        <v>0</v>
      </c>
      <c r="S239" s="110">
        <f t="shared" si="162"/>
        <v>0</v>
      </c>
      <c r="T239" s="110">
        <f t="shared" si="162"/>
        <v>0</v>
      </c>
      <c r="U239" s="110">
        <f t="shared" si="162"/>
        <v>709923.33333333326</v>
      </c>
      <c r="V239" s="142"/>
    </row>
    <row r="240" spans="1:24" hidden="1" x14ac:dyDescent="0.25">
      <c r="B240" s="16" t="s">
        <v>161</v>
      </c>
      <c r="C240" s="110">
        <f>+C241</f>
        <v>807700</v>
      </c>
      <c r="D240" s="117"/>
      <c r="E240" s="117"/>
      <c r="F240" s="117"/>
      <c r="G240" s="110">
        <f t="shared" ref="G240:U240" si="163">+G241</f>
        <v>807700</v>
      </c>
      <c r="H240" s="110">
        <f t="shared" si="163"/>
        <v>67308.333333333328</v>
      </c>
      <c r="I240" s="110">
        <f t="shared" si="163"/>
        <v>67308.333333333328</v>
      </c>
      <c r="J240" s="110">
        <f t="shared" si="163"/>
        <v>67308.333333333328</v>
      </c>
      <c r="K240" s="110">
        <f t="shared" si="163"/>
        <v>67308.333333333328</v>
      </c>
      <c r="L240" s="110">
        <f t="shared" si="163"/>
        <v>67308.333333333299</v>
      </c>
      <c r="M240" s="110">
        <f t="shared" si="163"/>
        <v>67308.333333333299</v>
      </c>
      <c r="N240" s="110">
        <f t="shared" si="163"/>
        <v>67308.333333333299</v>
      </c>
      <c r="O240" s="110">
        <f t="shared" si="163"/>
        <v>67308.333333333299</v>
      </c>
      <c r="P240" s="110">
        <f t="shared" si="163"/>
        <v>67308.333333333328</v>
      </c>
      <c r="Q240" s="110">
        <f t="shared" si="163"/>
        <v>67308.333333333328</v>
      </c>
      <c r="R240" s="110">
        <f t="shared" si="163"/>
        <v>0</v>
      </c>
      <c r="S240" s="110">
        <f t="shared" si="163"/>
        <v>0</v>
      </c>
      <c r="T240" s="110">
        <f t="shared" si="163"/>
        <v>0</v>
      </c>
      <c r="U240" s="110">
        <f t="shared" si="163"/>
        <v>673083.33333333326</v>
      </c>
      <c r="V240" s="142"/>
    </row>
    <row r="241" spans="2:23" hidden="1" x14ac:dyDescent="0.25">
      <c r="B241" t="s">
        <v>371</v>
      </c>
      <c r="C241" s="117">
        <v>807700</v>
      </c>
      <c r="D241" s="117">
        <v>67308.333333333328</v>
      </c>
      <c r="E241" s="117"/>
      <c r="F241" s="117"/>
      <c r="G241" s="117">
        <v>807700</v>
      </c>
      <c r="H241" s="117">
        <v>67308.333333333328</v>
      </c>
      <c r="I241" s="117">
        <v>67308.333333333328</v>
      </c>
      <c r="J241" s="117">
        <v>67308.333333333328</v>
      </c>
      <c r="K241" s="117">
        <v>67308.333333333328</v>
      </c>
      <c r="L241" s="117">
        <v>67308.333333333299</v>
      </c>
      <c r="M241" s="117">
        <v>67308.333333333299</v>
      </c>
      <c r="N241" s="117">
        <v>67308.333333333299</v>
      </c>
      <c r="O241" s="117">
        <v>67308.333333333299</v>
      </c>
      <c r="P241" s="117">
        <v>67308.333333333328</v>
      </c>
      <c r="Q241" s="117">
        <v>67308.333333333328</v>
      </c>
      <c r="R241" s="117"/>
      <c r="S241" s="117"/>
      <c r="T241" s="117"/>
      <c r="U241" s="25">
        <f>SUM(H241:T241)</f>
        <v>673083.33333333326</v>
      </c>
      <c r="V241" s="142"/>
    </row>
    <row r="242" spans="2:23" hidden="1" x14ac:dyDescent="0.25">
      <c r="B242" t="s">
        <v>164</v>
      </c>
      <c r="C242" s="117">
        <f>+C243</f>
        <v>24840</v>
      </c>
      <c r="D242" s="117"/>
      <c r="E242" s="117"/>
      <c r="F242" s="117"/>
      <c r="G242" s="117">
        <f>+G243</f>
        <v>24840</v>
      </c>
      <c r="H242" s="117">
        <f t="shared" ref="H242:U242" si="164">+H243</f>
        <v>2070</v>
      </c>
      <c r="I242" s="117">
        <f t="shared" si="164"/>
        <v>2070</v>
      </c>
      <c r="J242" s="117">
        <f t="shared" si="164"/>
        <v>2070</v>
      </c>
      <c r="K242" s="117">
        <f t="shared" si="164"/>
        <v>2070</v>
      </c>
      <c r="L242" s="117">
        <f t="shared" si="164"/>
        <v>2070</v>
      </c>
      <c r="M242" s="117">
        <f t="shared" si="164"/>
        <v>2070</v>
      </c>
      <c r="N242" s="117">
        <f t="shared" si="164"/>
        <v>2070</v>
      </c>
      <c r="O242" s="117">
        <f t="shared" si="164"/>
        <v>2070</v>
      </c>
      <c r="P242" s="117">
        <f t="shared" si="164"/>
        <v>2070</v>
      </c>
      <c r="Q242" s="117">
        <f t="shared" si="164"/>
        <v>2070</v>
      </c>
      <c r="R242" s="117">
        <f t="shared" si="164"/>
        <v>0</v>
      </c>
      <c r="S242" s="117">
        <f t="shared" si="164"/>
        <v>0</v>
      </c>
      <c r="T242" s="117">
        <f t="shared" si="164"/>
        <v>0</v>
      </c>
      <c r="U242" s="117">
        <f t="shared" si="164"/>
        <v>20700</v>
      </c>
      <c r="V242" s="142"/>
    </row>
    <row r="243" spans="2:23" hidden="1" x14ac:dyDescent="0.25">
      <c r="B243" t="s">
        <v>165</v>
      </c>
      <c r="C243" s="117">
        <v>24840</v>
      </c>
      <c r="D243" s="117">
        <v>2070</v>
      </c>
      <c r="E243" s="117"/>
      <c r="F243" s="117"/>
      <c r="G243" s="117">
        <v>24840</v>
      </c>
      <c r="H243" s="117">
        <v>2070</v>
      </c>
      <c r="I243" s="117">
        <v>2070</v>
      </c>
      <c r="J243" s="117">
        <v>2070</v>
      </c>
      <c r="K243" s="117">
        <v>2070</v>
      </c>
      <c r="L243" s="117">
        <v>2070</v>
      </c>
      <c r="M243" s="117">
        <v>2070</v>
      </c>
      <c r="N243" s="117">
        <v>2070</v>
      </c>
      <c r="O243" s="117">
        <v>2070</v>
      </c>
      <c r="P243" s="117">
        <v>2070</v>
      </c>
      <c r="Q243" s="117">
        <v>2070</v>
      </c>
      <c r="R243" s="117"/>
      <c r="S243" s="117"/>
      <c r="T243" s="117"/>
      <c r="U243" s="25">
        <f>SUM(H243:T243)</f>
        <v>20700</v>
      </c>
      <c r="V243" s="142"/>
    </row>
    <row r="244" spans="2:23" hidden="1" x14ac:dyDescent="0.25">
      <c r="B244" t="s">
        <v>170</v>
      </c>
      <c r="C244" s="117">
        <f>+C245</f>
        <v>4368</v>
      </c>
      <c r="D244" s="117"/>
      <c r="E244" s="117"/>
      <c r="F244" s="117"/>
      <c r="G244" s="117">
        <f t="shared" ref="G244:U244" si="165">+G245</f>
        <v>4368</v>
      </c>
      <c r="H244" s="117">
        <f t="shared" si="165"/>
        <v>364</v>
      </c>
      <c r="I244" s="117">
        <f t="shared" si="165"/>
        <v>364</v>
      </c>
      <c r="J244" s="117">
        <f t="shared" si="165"/>
        <v>364</v>
      </c>
      <c r="K244" s="117">
        <f t="shared" si="165"/>
        <v>364</v>
      </c>
      <c r="L244" s="117">
        <f t="shared" si="165"/>
        <v>364</v>
      </c>
      <c r="M244" s="117">
        <f t="shared" si="165"/>
        <v>364</v>
      </c>
      <c r="N244" s="117">
        <f t="shared" si="165"/>
        <v>364</v>
      </c>
      <c r="O244" s="117">
        <f t="shared" si="165"/>
        <v>364</v>
      </c>
      <c r="P244" s="117">
        <f t="shared" si="165"/>
        <v>364</v>
      </c>
      <c r="Q244" s="117">
        <f t="shared" si="165"/>
        <v>364</v>
      </c>
      <c r="R244" s="117">
        <f t="shared" si="165"/>
        <v>0</v>
      </c>
      <c r="S244" s="117">
        <f t="shared" si="165"/>
        <v>0</v>
      </c>
      <c r="T244" s="117">
        <f t="shared" si="165"/>
        <v>0</v>
      </c>
      <c r="U244" s="117">
        <f t="shared" si="165"/>
        <v>3640</v>
      </c>
      <c r="V244" s="142"/>
    </row>
    <row r="245" spans="2:23" hidden="1" x14ac:dyDescent="0.25">
      <c r="B245" t="s">
        <v>171</v>
      </c>
      <c r="C245" s="117">
        <v>4368</v>
      </c>
      <c r="D245" s="117">
        <v>364</v>
      </c>
      <c r="E245" s="117"/>
      <c r="F245" s="117"/>
      <c r="G245" s="117">
        <v>4368</v>
      </c>
      <c r="H245" s="117">
        <v>364</v>
      </c>
      <c r="I245" s="117">
        <v>364</v>
      </c>
      <c r="J245" s="117">
        <v>364</v>
      </c>
      <c r="K245" s="117">
        <v>364</v>
      </c>
      <c r="L245" s="117">
        <v>364</v>
      </c>
      <c r="M245" s="117">
        <v>364</v>
      </c>
      <c r="N245" s="117">
        <v>364</v>
      </c>
      <c r="O245" s="117">
        <v>364</v>
      </c>
      <c r="P245" s="117">
        <v>364</v>
      </c>
      <c r="Q245" s="117">
        <v>364</v>
      </c>
      <c r="R245" s="117"/>
      <c r="S245" s="117"/>
      <c r="T245" s="117"/>
      <c r="U245" s="25">
        <f>SUM(H245:T245)</f>
        <v>3640</v>
      </c>
      <c r="V245" s="142"/>
    </row>
    <row r="246" spans="2:23" hidden="1" x14ac:dyDescent="0.25">
      <c r="B246" t="s">
        <v>173</v>
      </c>
      <c r="C246" s="117">
        <f>+C247</f>
        <v>15000</v>
      </c>
      <c r="D246" s="117"/>
      <c r="E246" s="117"/>
      <c r="F246" s="117"/>
      <c r="G246" s="117">
        <f>+G247</f>
        <v>15000</v>
      </c>
      <c r="H246" s="117">
        <f t="shared" ref="H246:U246" si="166">+H247</f>
        <v>1250</v>
      </c>
      <c r="I246" s="117">
        <f t="shared" si="166"/>
        <v>1250</v>
      </c>
      <c r="J246" s="117">
        <f t="shared" si="166"/>
        <v>1250</v>
      </c>
      <c r="K246" s="117">
        <f t="shared" si="166"/>
        <v>1250</v>
      </c>
      <c r="L246" s="117">
        <f t="shared" si="166"/>
        <v>1250</v>
      </c>
      <c r="M246" s="117">
        <f t="shared" si="166"/>
        <v>1250</v>
      </c>
      <c r="N246" s="117">
        <f t="shared" si="166"/>
        <v>1250</v>
      </c>
      <c r="O246" s="117">
        <f t="shared" si="166"/>
        <v>1250</v>
      </c>
      <c r="P246" s="117">
        <f t="shared" si="166"/>
        <v>1250</v>
      </c>
      <c r="Q246" s="117">
        <f t="shared" si="166"/>
        <v>1250</v>
      </c>
      <c r="R246" s="117">
        <f t="shared" si="166"/>
        <v>0</v>
      </c>
      <c r="S246" s="117">
        <f t="shared" si="166"/>
        <v>0</v>
      </c>
      <c r="T246" s="117">
        <f t="shared" si="166"/>
        <v>0</v>
      </c>
      <c r="U246" s="117">
        <f t="shared" si="166"/>
        <v>12500</v>
      </c>
      <c r="V246" s="142"/>
    </row>
    <row r="247" spans="2:23" hidden="1" x14ac:dyDescent="0.25">
      <c r="B247" t="s">
        <v>174</v>
      </c>
      <c r="C247" s="117">
        <v>15000</v>
      </c>
      <c r="D247" s="117">
        <v>1250</v>
      </c>
      <c r="E247" s="117"/>
      <c r="F247" s="117"/>
      <c r="G247" s="117">
        <v>15000</v>
      </c>
      <c r="H247" s="117">
        <v>1250</v>
      </c>
      <c r="I247" s="117">
        <v>1250</v>
      </c>
      <c r="J247" s="117">
        <v>1250</v>
      </c>
      <c r="K247" s="117">
        <v>1250</v>
      </c>
      <c r="L247" s="117">
        <v>1250</v>
      </c>
      <c r="M247" s="117">
        <v>1250</v>
      </c>
      <c r="N247" s="117">
        <v>1250</v>
      </c>
      <c r="O247" s="117">
        <v>1250</v>
      </c>
      <c r="P247" s="117">
        <v>1250</v>
      </c>
      <c r="Q247" s="117">
        <v>1250</v>
      </c>
      <c r="R247" s="117"/>
      <c r="S247" s="117"/>
      <c r="T247" s="117"/>
      <c r="U247" s="25">
        <f>SUM(H247:T247)</f>
        <v>12500</v>
      </c>
      <c r="V247" s="142"/>
    </row>
    <row r="248" spans="2:23" x14ac:dyDescent="0.25">
      <c r="B248" s="16" t="s">
        <v>28</v>
      </c>
      <c r="C248" s="110">
        <f>+C249+C251</f>
        <v>11000000</v>
      </c>
      <c r="D248" s="117">
        <f>SUM(D250:D252)</f>
        <v>916666.66666666663</v>
      </c>
      <c r="E248" s="117"/>
      <c r="F248" s="117"/>
      <c r="G248" s="110">
        <f t="shared" ref="G248:U248" si="167">+G249+G251</f>
        <v>11000000</v>
      </c>
      <c r="H248" s="110">
        <f t="shared" si="167"/>
        <v>916666.66666666663</v>
      </c>
      <c r="I248" s="110">
        <f t="shared" si="167"/>
        <v>916666.66666666663</v>
      </c>
      <c r="J248" s="110">
        <f t="shared" si="167"/>
        <v>916666.66666666663</v>
      </c>
      <c r="K248" s="110">
        <f t="shared" si="167"/>
        <v>916666.66666666663</v>
      </c>
      <c r="L248" s="110">
        <f t="shared" si="167"/>
        <v>916666.66666666663</v>
      </c>
      <c r="M248" s="110">
        <f t="shared" si="167"/>
        <v>916666.66666666663</v>
      </c>
      <c r="N248" s="110">
        <f t="shared" si="167"/>
        <v>916666.66666666663</v>
      </c>
      <c r="O248" s="110">
        <f t="shared" si="167"/>
        <v>916666.66666666663</v>
      </c>
      <c r="P248" s="110">
        <f t="shared" si="167"/>
        <v>916666.66666666663</v>
      </c>
      <c r="Q248" s="110">
        <f t="shared" si="167"/>
        <v>916666.66666666663</v>
      </c>
      <c r="R248" s="110">
        <f t="shared" si="167"/>
        <v>0</v>
      </c>
      <c r="S248" s="110">
        <f t="shared" si="167"/>
        <v>0</v>
      </c>
      <c r="T248" s="110">
        <f t="shared" si="167"/>
        <v>0</v>
      </c>
      <c r="U248" s="110">
        <f t="shared" si="167"/>
        <v>9166666.6666666679</v>
      </c>
      <c r="V248" s="142"/>
    </row>
    <row r="249" spans="2:23" hidden="1" x14ac:dyDescent="0.25">
      <c r="B249" s="16" t="s">
        <v>361</v>
      </c>
      <c r="C249" s="110">
        <f>+C250</f>
        <v>5500000</v>
      </c>
      <c r="D249" s="117"/>
      <c r="E249" s="117"/>
      <c r="F249" s="117"/>
      <c r="G249" s="110">
        <f t="shared" ref="G249:U249" si="168">+G250</f>
        <v>5500000</v>
      </c>
      <c r="H249" s="110">
        <f t="shared" si="168"/>
        <v>458333.33333333331</v>
      </c>
      <c r="I249" s="110">
        <f t="shared" si="168"/>
        <v>458333.33333333331</v>
      </c>
      <c r="J249" s="110">
        <f t="shared" si="168"/>
        <v>458333.33333333331</v>
      </c>
      <c r="K249" s="110">
        <f t="shared" si="168"/>
        <v>458333.33333333331</v>
      </c>
      <c r="L249" s="110">
        <f t="shared" si="168"/>
        <v>458333.33333333331</v>
      </c>
      <c r="M249" s="110">
        <f t="shared" si="168"/>
        <v>458333.33333333331</v>
      </c>
      <c r="N249" s="110">
        <f t="shared" si="168"/>
        <v>458333.33333333331</v>
      </c>
      <c r="O249" s="110">
        <f t="shared" si="168"/>
        <v>458333.33333333331</v>
      </c>
      <c r="P249" s="110">
        <f t="shared" si="168"/>
        <v>458333.33333333331</v>
      </c>
      <c r="Q249" s="110">
        <f t="shared" si="168"/>
        <v>458333.33333333331</v>
      </c>
      <c r="R249" s="110">
        <f t="shared" si="168"/>
        <v>0</v>
      </c>
      <c r="S249" s="110">
        <f t="shared" si="168"/>
        <v>0</v>
      </c>
      <c r="T249" s="110">
        <f t="shared" si="168"/>
        <v>0</v>
      </c>
      <c r="U249" s="110">
        <f t="shared" si="168"/>
        <v>4583333.333333334</v>
      </c>
      <c r="V249" s="142"/>
    </row>
    <row r="250" spans="2:23" hidden="1" x14ac:dyDescent="0.25">
      <c r="B250" t="s">
        <v>362</v>
      </c>
      <c r="C250" s="117">
        <v>5500000</v>
      </c>
      <c r="D250" s="117">
        <v>458333.33333333331</v>
      </c>
      <c r="E250" s="117"/>
      <c r="F250" s="117"/>
      <c r="G250" s="117">
        <v>5500000</v>
      </c>
      <c r="H250" s="117">
        <v>458333.33333333331</v>
      </c>
      <c r="I250" s="117">
        <v>458333.33333333331</v>
      </c>
      <c r="J250" s="117">
        <v>458333.33333333331</v>
      </c>
      <c r="K250" s="117">
        <v>458333.33333333331</v>
      </c>
      <c r="L250" s="117">
        <v>458333.33333333331</v>
      </c>
      <c r="M250" s="117">
        <v>458333.33333333331</v>
      </c>
      <c r="N250" s="117">
        <v>458333.33333333331</v>
      </c>
      <c r="O250" s="117">
        <v>458333.33333333331</v>
      </c>
      <c r="P250" s="117">
        <v>458333.33333333331</v>
      </c>
      <c r="Q250" s="117">
        <v>458333.33333333331</v>
      </c>
      <c r="R250" s="117"/>
      <c r="S250" s="117"/>
      <c r="T250" s="117"/>
      <c r="U250" s="25">
        <f>SUM(H250:T250)</f>
        <v>4583333.333333334</v>
      </c>
      <c r="V250" s="142"/>
    </row>
    <row r="251" spans="2:23" hidden="1" x14ac:dyDescent="0.25">
      <c r="B251" t="s">
        <v>364</v>
      </c>
      <c r="C251" s="117">
        <f>+C252</f>
        <v>5500000</v>
      </c>
      <c r="D251" s="117"/>
      <c r="E251" s="117"/>
      <c r="F251" s="117"/>
      <c r="G251" s="117">
        <f>+G252</f>
        <v>5500000</v>
      </c>
      <c r="H251" s="117">
        <f t="shared" ref="H251:U251" si="169">+H252</f>
        <v>458333.33333333331</v>
      </c>
      <c r="I251" s="117">
        <f t="shared" si="169"/>
        <v>458333.33333333331</v>
      </c>
      <c r="J251" s="117">
        <f t="shared" si="169"/>
        <v>458333.33333333331</v>
      </c>
      <c r="K251" s="117">
        <f t="shared" si="169"/>
        <v>458333.33333333331</v>
      </c>
      <c r="L251" s="117">
        <f t="shared" si="169"/>
        <v>458333.33333333331</v>
      </c>
      <c r="M251" s="117">
        <f t="shared" si="169"/>
        <v>458333.33333333331</v>
      </c>
      <c r="N251" s="117">
        <f t="shared" si="169"/>
        <v>458333.33333333331</v>
      </c>
      <c r="O251" s="117">
        <f t="shared" si="169"/>
        <v>458333.33333333331</v>
      </c>
      <c r="P251" s="117">
        <f t="shared" si="169"/>
        <v>458333.33333333331</v>
      </c>
      <c r="Q251" s="117">
        <f t="shared" si="169"/>
        <v>458333.33333333331</v>
      </c>
      <c r="R251" s="117">
        <f t="shared" si="169"/>
        <v>0</v>
      </c>
      <c r="S251" s="117">
        <f t="shared" si="169"/>
        <v>0</v>
      </c>
      <c r="T251" s="117">
        <f t="shared" si="169"/>
        <v>0</v>
      </c>
      <c r="U251" s="117">
        <f t="shared" si="169"/>
        <v>4583333.333333334</v>
      </c>
      <c r="V251" s="142"/>
    </row>
    <row r="252" spans="2:23" hidden="1" x14ac:dyDescent="0.25">
      <c r="B252" t="s">
        <v>365</v>
      </c>
      <c r="C252" s="117">
        <v>5500000</v>
      </c>
      <c r="D252" s="117">
        <v>458333.33333333331</v>
      </c>
      <c r="E252" s="117"/>
      <c r="F252" s="117"/>
      <c r="G252" s="117">
        <v>5500000</v>
      </c>
      <c r="H252" s="117">
        <v>458333.33333333331</v>
      </c>
      <c r="I252" s="117">
        <v>458333.33333333331</v>
      </c>
      <c r="J252" s="117">
        <v>458333.33333333331</v>
      </c>
      <c r="K252" s="117">
        <v>458333.33333333331</v>
      </c>
      <c r="L252" s="117">
        <v>458333.33333333331</v>
      </c>
      <c r="M252" s="117">
        <v>458333.33333333331</v>
      </c>
      <c r="N252" s="117">
        <v>458333.33333333331</v>
      </c>
      <c r="O252" s="117">
        <v>458333.33333333331</v>
      </c>
      <c r="P252" s="117">
        <v>458333.33333333331</v>
      </c>
      <c r="Q252" s="117">
        <v>458333.33333333331</v>
      </c>
      <c r="R252" s="117"/>
      <c r="S252" s="117"/>
      <c r="T252" s="117"/>
      <c r="U252" s="25">
        <f>SUM(H252:T252)</f>
        <v>4583333.333333334</v>
      </c>
      <c r="V252" s="142"/>
      <c r="W252" s="52"/>
    </row>
    <row r="253" spans="2:23" x14ac:dyDescent="0.25">
      <c r="B253" s="16" t="s">
        <v>30</v>
      </c>
      <c r="C253" s="110">
        <f t="shared" ref="C253" si="170">SUM(+C255)</f>
        <v>459195</v>
      </c>
      <c r="D253" s="117">
        <f>+D255</f>
        <v>38266.25</v>
      </c>
      <c r="E253" s="117"/>
      <c r="F253" s="117"/>
      <c r="G253" s="110">
        <f t="shared" ref="G253:U253" si="171">SUM(+G255)</f>
        <v>459195</v>
      </c>
      <c r="H253" s="110">
        <f t="shared" si="171"/>
        <v>38266.25</v>
      </c>
      <c r="I253" s="110">
        <f t="shared" si="171"/>
        <v>38266.25</v>
      </c>
      <c r="J253" s="110">
        <f t="shared" si="171"/>
        <v>38266.25</v>
      </c>
      <c r="K253" s="110">
        <f t="shared" si="171"/>
        <v>38266.25</v>
      </c>
      <c r="L253" s="110">
        <f t="shared" si="171"/>
        <v>38266.25</v>
      </c>
      <c r="M253" s="110">
        <f t="shared" si="171"/>
        <v>38266.25</v>
      </c>
      <c r="N253" s="110">
        <f t="shared" si="171"/>
        <v>38266.25</v>
      </c>
      <c r="O253" s="110">
        <f t="shared" si="171"/>
        <v>38266.25</v>
      </c>
      <c r="P253" s="110">
        <f t="shared" si="171"/>
        <v>38266.25</v>
      </c>
      <c r="Q253" s="110">
        <f t="shared" si="171"/>
        <v>38266.25</v>
      </c>
      <c r="R253" s="110">
        <f t="shared" si="171"/>
        <v>0</v>
      </c>
      <c r="S253" s="110">
        <f t="shared" si="171"/>
        <v>0</v>
      </c>
      <c r="T253" s="110">
        <f t="shared" si="171"/>
        <v>0</v>
      </c>
      <c r="U253" s="110">
        <f t="shared" si="171"/>
        <v>382662.5</v>
      </c>
      <c r="V253" s="142"/>
    </row>
    <row r="254" spans="2:23" hidden="1" x14ac:dyDescent="0.25">
      <c r="B254" s="16" t="s">
        <v>372</v>
      </c>
      <c r="C254" s="110">
        <f>+C255</f>
        <v>459195</v>
      </c>
      <c r="D254" s="117"/>
      <c r="E254" s="117"/>
      <c r="F254" s="117"/>
      <c r="G254" s="110">
        <f t="shared" ref="G254:U254" si="172">+G255</f>
        <v>459195</v>
      </c>
      <c r="H254" s="110">
        <f t="shared" si="172"/>
        <v>38266.25</v>
      </c>
      <c r="I254" s="110">
        <f t="shared" si="172"/>
        <v>38266.25</v>
      </c>
      <c r="J254" s="110">
        <f t="shared" si="172"/>
        <v>38266.25</v>
      </c>
      <c r="K254" s="110">
        <f t="shared" si="172"/>
        <v>38266.25</v>
      </c>
      <c r="L254" s="110">
        <f t="shared" si="172"/>
        <v>38266.25</v>
      </c>
      <c r="M254" s="110">
        <f t="shared" si="172"/>
        <v>38266.25</v>
      </c>
      <c r="N254" s="110">
        <f t="shared" si="172"/>
        <v>38266.25</v>
      </c>
      <c r="O254" s="110">
        <f t="shared" si="172"/>
        <v>38266.25</v>
      </c>
      <c r="P254" s="110">
        <f t="shared" si="172"/>
        <v>38266.25</v>
      </c>
      <c r="Q254" s="110">
        <f t="shared" si="172"/>
        <v>38266.25</v>
      </c>
      <c r="R254" s="110">
        <f t="shared" si="172"/>
        <v>0</v>
      </c>
      <c r="S254" s="110">
        <f t="shared" si="172"/>
        <v>0</v>
      </c>
      <c r="T254" s="110">
        <f t="shared" si="172"/>
        <v>0</v>
      </c>
      <c r="U254" s="110">
        <f t="shared" si="172"/>
        <v>382662.5</v>
      </c>
      <c r="V254" s="142"/>
    </row>
    <row r="255" spans="2:23" hidden="1" x14ac:dyDescent="0.25">
      <c r="B255" t="s">
        <v>190</v>
      </c>
      <c r="C255" s="117">
        <v>459195</v>
      </c>
      <c r="D255" s="117">
        <v>38266.25</v>
      </c>
      <c r="E255" s="117"/>
      <c r="F255" s="117"/>
      <c r="G255" s="117">
        <v>459195</v>
      </c>
      <c r="H255" s="117">
        <v>38266.25</v>
      </c>
      <c r="I255" s="117">
        <v>38266.25</v>
      </c>
      <c r="J255" s="117">
        <v>38266.25</v>
      </c>
      <c r="K255" s="117">
        <v>38266.25</v>
      </c>
      <c r="L255" s="117">
        <v>38266.25</v>
      </c>
      <c r="M255" s="117">
        <v>38266.25</v>
      </c>
      <c r="N255" s="117">
        <v>38266.25</v>
      </c>
      <c r="O255" s="117">
        <v>38266.25</v>
      </c>
      <c r="P255" s="117">
        <v>38266.25</v>
      </c>
      <c r="Q255" s="117">
        <v>38266.25</v>
      </c>
      <c r="R255" s="117"/>
      <c r="S255" s="117"/>
      <c r="T255" s="117"/>
      <c r="U255" s="25">
        <f>SUM(H255:T255)</f>
        <v>382662.5</v>
      </c>
      <c r="V255" s="142"/>
    </row>
    <row r="256" spans="2:23" ht="30" x14ac:dyDescent="0.25">
      <c r="B256" s="20" t="s">
        <v>33</v>
      </c>
      <c r="C256" s="30">
        <f>+C257</f>
        <v>34117257</v>
      </c>
      <c r="D256" s="117">
        <f>+D258</f>
        <v>2843104.75</v>
      </c>
      <c r="E256" s="117"/>
      <c r="F256" s="117"/>
      <c r="G256" s="30">
        <f>+G257</f>
        <v>34117257</v>
      </c>
      <c r="H256" s="30">
        <f t="shared" ref="H256:U257" si="173">+H257</f>
        <v>2843104.75</v>
      </c>
      <c r="I256" s="30">
        <f t="shared" si="173"/>
        <v>2843104.75</v>
      </c>
      <c r="J256" s="30">
        <f t="shared" si="173"/>
        <v>2843104.75</v>
      </c>
      <c r="K256" s="30">
        <f t="shared" si="173"/>
        <v>2843104.75</v>
      </c>
      <c r="L256" s="30">
        <f t="shared" si="173"/>
        <v>2843104.75</v>
      </c>
      <c r="M256" s="30">
        <f t="shared" si="173"/>
        <v>2843104.75</v>
      </c>
      <c r="N256" s="30">
        <f t="shared" si="173"/>
        <v>2843104.75</v>
      </c>
      <c r="O256" s="30">
        <f t="shared" si="173"/>
        <v>2843104.75</v>
      </c>
      <c r="P256" s="30">
        <f t="shared" si="173"/>
        <v>2843104.85</v>
      </c>
      <c r="Q256" s="30">
        <f t="shared" si="173"/>
        <v>2843104.85</v>
      </c>
      <c r="R256" s="30">
        <f t="shared" si="173"/>
        <v>0</v>
      </c>
      <c r="S256" s="30">
        <f t="shared" si="173"/>
        <v>0</v>
      </c>
      <c r="T256" s="30">
        <f t="shared" si="173"/>
        <v>0</v>
      </c>
      <c r="U256" s="30">
        <f t="shared" si="173"/>
        <v>28431047.700000003</v>
      </c>
      <c r="V256" s="142"/>
    </row>
    <row r="257" spans="1:24" hidden="1" x14ac:dyDescent="0.25">
      <c r="B257" s="103" t="s">
        <v>373</v>
      </c>
      <c r="C257" s="75">
        <f>+C258</f>
        <v>34117257</v>
      </c>
      <c r="D257" s="76"/>
      <c r="E257" s="76"/>
      <c r="F257" s="76"/>
      <c r="G257" s="75">
        <f>+G258</f>
        <v>34117257</v>
      </c>
      <c r="H257" s="75">
        <f t="shared" si="173"/>
        <v>2843104.75</v>
      </c>
      <c r="I257" s="75">
        <f t="shared" si="173"/>
        <v>2843104.75</v>
      </c>
      <c r="J257" s="75">
        <f t="shared" si="173"/>
        <v>2843104.75</v>
      </c>
      <c r="K257" s="75">
        <f t="shared" si="173"/>
        <v>2843104.75</v>
      </c>
      <c r="L257" s="75">
        <f t="shared" si="173"/>
        <v>2843104.75</v>
      </c>
      <c r="M257" s="75">
        <f t="shared" si="173"/>
        <v>2843104.75</v>
      </c>
      <c r="N257" s="75">
        <f t="shared" si="173"/>
        <v>2843104.75</v>
      </c>
      <c r="O257" s="75">
        <f t="shared" si="173"/>
        <v>2843104.75</v>
      </c>
      <c r="P257" s="75">
        <f t="shared" si="173"/>
        <v>2843104.85</v>
      </c>
      <c r="Q257" s="75">
        <f t="shared" si="173"/>
        <v>2843104.85</v>
      </c>
      <c r="R257" s="75">
        <f t="shared" si="173"/>
        <v>0</v>
      </c>
      <c r="S257" s="75">
        <f t="shared" si="173"/>
        <v>0</v>
      </c>
      <c r="T257" s="75">
        <f t="shared" si="173"/>
        <v>0</v>
      </c>
      <c r="U257" s="75">
        <f t="shared" si="173"/>
        <v>28431047.700000003</v>
      </c>
    </row>
    <row r="258" spans="1:24" ht="2.25" customHeight="1" thickBot="1" x14ac:dyDescent="0.3">
      <c r="B258" t="s">
        <v>230</v>
      </c>
      <c r="C258" s="13">
        <f>30962655+3434466-279864</f>
        <v>34117257</v>
      </c>
      <c r="D258" s="13">
        <v>2843104.75</v>
      </c>
      <c r="E258" s="13"/>
      <c r="F258" s="13"/>
      <c r="G258" s="13">
        <f>30962655+3434466-279864</f>
        <v>34117257</v>
      </c>
      <c r="H258" s="13">
        <v>2843104.75</v>
      </c>
      <c r="I258" s="13">
        <v>2843104.75</v>
      </c>
      <c r="J258" s="13">
        <v>2843104.75</v>
      </c>
      <c r="K258" s="13">
        <v>2843104.75</v>
      </c>
      <c r="L258" s="13">
        <v>2843104.75</v>
      </c>
      <c r="M258" s="13">
        <v>2843104.75</v>
      </c>
      <c r="N258" s="13">
        <v>2843104.75</v>
      </c>
      <c r="O258" s="13">
        <v>2843104.75</v>
      </c>
      <c r="P258" s="13">
        <v>2843104.85</v>
      </c>
      <c r="Q258" s="13">
        <v>2843104.85</v>
      </c>
      <c r="U258" s="25">
        <f>SUM(H258:T258)</f>
        <v>28431047.700000003</v>
      </c>
    </row>
    <row r="259" spans="1:24" ht="15.75" thickBot="1" x14ac:dyDescent="0.3">
      <c r="A259" s="145"/>
      <c r="B259" s="17" t="s">
        <v>35</v>
      </c>
      <c r="C259" s="146">
        <f>+C260</f>
        <v>2844000</v>
      </c>
      <c r="D259" s="146">
        <v>237000</v>
      </c>
      <c r="E259" s="146"/>
      <c r="F259" s="146"/>
      <c r="G259" s="146">
        <f t="shared" ref="G259:U261" si="174">+G260</f>
        <v>2844000</v>
      </c>
      <c r="H259" s="146">
        <f t="shared" si="174"/>
        <v>237000</v>
      </c>
      <c r="I259" s="146">
        <f t="shared" si="174"/>
        <v>237000</v>
      </c>
      <c r="J259" s="146">
        <f t="shared" si="174"/>
        <v>237000</v>
      </c>
      <c r="K259" s="146">
        <f t="shared" si="174"/>
        <v>237000</v>
      </c>
      <c r="L259" s="146">
        <f t="shared" si="174"/>
        <v>237000</v>
      </c>
      <c r="M259" s="146">
        <f t="shared" si="174"/>
        <v>237000</v>
      </c>
      <c r="N259" s="146">
        <f t="shared" si="174"/>
        <v>237000</v>
      </c>
      <c r="O259" s="146">
        <f t="shared" si="174"/>
        <v>237000</v>
      </c>
      <c r="P259" s="146">
        <f t="shared" si="174"/>
        <v>237000</v>
      </c>
      <c r="Q259" s="146">
        <f t="shared" si="174"/>
        <v>237000</v>
      </c>
      <c r="R259" s="146">
        <f t="shared" si="174"/>
        <v>0</v>
      </c>
      <c r="S259" s="146">
        <f t="shared" si="174"/>
        <v>0</v>
      </c>
      <c r="T259" s="146">
        <f t="shared" si="174"/>
        <v>0</v>
      </c>
      <c r="U259" s="146">
        <f t="shared" si="174"/>
        <v>2370000</v>
      </c>
      <c r="V259" s="147"/>
      <c r="W259" s="52"/>
    </row>
    <row r="260" spans="1:24" x14ac:dyDescent="0.25">
      <c r="B260" s="16" t="s">
        <v>42</v>
      </c>
      <c r="C260" s="30">
        <f>+C261</f>
        <v>2844000</v>
      </c>
      <c r="D260" s="117">
        <v>237000</v>
      </c>
      <c r="E260" s="117"/>
      <c r="F260" s="117"/>
      <c r="G260" s="30">
        <f>+G261</f>
        <v>2844000</v>
      </c>
      <c r="H260" s="30">
        <f>+H261</f>
        <v>237000</v>
      </c>
      <c r="I260" s="30">
        <f t="shared" si="174"/>
        <v>237000</v>
      </c>
      <c r="J260" s="30">
        <f t="shared" si="174"/>
        <v>237000</v>
      </c>
      <c r="K260" s="30">
        <f t="shared" si="174"/>
        <v>237000</v>
      </c>
      <c r="L260" s="30">
        <f t="shared" si="174"/>
        <v>237000</v>
      </c>
      <c r="M260" s="30">
        <f t="shared" si="174"/>
        <v>237000</v>
      </c>
      <c r="N260" s="30">
        <f t="shared" si="174"/>
        <v>237000</v>
      </c>
      <c r="O260" s="30">
        <f t="shared" si="174"/>
        <v>237000</v>
      </c>
      <c r="P260" s="30">
        <f t="shared" si="174"/>
        <v>237000</v>
      </c>
      <c r="Q260" s="30">
        <f t="shared" si="174"/>
        <v>237000</v>
      </c>
      <c r="R260" s="30">
        <f t="shared" si="174"/>
        <v>0</v>
      </c>
      <c r="S260" s="30">
        <f t="shared" si="174"/>
        <v>0</v>
      </c>
      <c r="T260" s="30">
        <f t="shared" si="174"/>
        <v>0</v>
      </c>
      <c r="U260" s="30">
        <f t="shared" si="174"/>
        <v>2370000</v>
      </c>
      <c r="V260" s="142"/>
    </row>
    <row r="261" spans="1:24" ht="30" hidden="1" x14ac:dyDescent="0.25">
      <c r="B261" s="103" t="s">
        <v>374</v>
      </c>
      <c r="C261" s="75">
        <f>+C262</f>
        <v>2844000</v>
      </c>
      <c r="D261" s="76"/>
      <c r="E261" s="76"/>
      <c r="F261" s="76"/>
      <c r="G261" s="75">
        <f>+G262</f>
        <v>2844000</v>
      </c>
      <c r="H261" s="75">
        <f t="shared" si="174"/>
        <v>237000</v>
      </c>
      <c r="I261" s="75">
        <f t="shared" si="174"/>
        <v>237000</v>
      </c>
      <c r="J261" s="75">
        <f t="shared" si="174"/>
        <v>237000</v>
      </c>
      <c r="K261" s="75">
        <f t="shared" si="174"/>
        <v>237000</v>
      </c>
      <c r="L261" s="75">
        <f t="shared" si="174"/>
        <v>237000</v>
      </c>
      <c r="M261" s="75">
        <f t="shared" si="174"/>
        <v>237000</v>
      </c>
      <c r="N261" s="75">
        <f t="shared" si="174"/>
        <v>237000</v>
      </c>
      <c r="O261" s="75">
        <f t="shared" si="174"/>
        <v>237000</v>
      </c>
      <c r="P261" s="75">
        <f t="shared" si="174"/>
        <v>237000</v>
      </c>
      <c r="Q261" s="75">
        <f t="shared" si="174"/>
        <v>237000</v>
      </c>
      <c r="R261" s="75">
        <f t="shared" si="174"/>
        <v>0</v>
      </c>
      <c r="S261" s="75">
        <f t="shared" si="174"/>
        <v>0</v>
      </c>
      <c r="T261" s="75">
        <f t="shared" si="174"/>
        <v>0</v>
      </c>
      <c r="U261" s="75">
        <f t="shared" si="174"/>
        <v>2370000</v>
      </c>
    </row>
    <row r="262" spans="1:24" hidden="1" x14ac:dyDescent="0.25">
      <c r="B262" t="s">
        <v>289</v>
      </c>
      <c r="C262" s="110">
        <v>2844000</v>
      </c>
      <c r="D262" s="13">
        <v>237000</v>
      </c>
      <c r="E262" s="13"/>
      <c r="F262" s="13"/>
      <c r="G262" s="88">
        <v>2844000</v>
      </c>
      <c r="H262" s="13">
        <v>237000</v>
      </c>
      <c r="I262" s="13">
        <v>237000</v>
      </c>
      <c r="J262" s="13">
        <v>237000</v>
      </c>
      <c r="K262" s="13">
        <v>237000</v>
      </c>
      <c r="L262" s="110">
        <v>237000</v>
      </c>
      <c r="M262" s="110">
        <v>237000</v>
      </c>
      <c r="N262" s="110">
        <v>237000</v>
      </c>
      <c r="O262" s="110">
        <v>237000</v>
      </c>
      <c r="P262" s="13">
        <v>237000</v>
      </c>
      <c r="Q262" s="13">
        <v>237000</v>
      </c>
      <c r="T262" s="110"/>
      <c r="U262" s="25">
        <f>SUM(H262:T262)</f>
        <v>2370000</v>
      </c>
    </row>
    <row r="263" spans="1:24" x14ac:dyDescent="0.25">
      <c r="A263" s="18"/>
      <c r="B263" s="111" t="s">
        <v>45</v>
      </c>
      <c r="C263" s="67">
        <f>+C264</f>
        <v>100749814</v>
      </c>
      <c r="D263" s="67">
        <v>3342631.75</v>
      </c>
      <c r="E263" s="67"/>
      <c r="F263" s="67"/>
      <c r="G263" s="67">
        <f>+G264</f>
        <v>100749814</v>
      </c>
      <c r="H263" s="67">
        <f t="shared" ref="H263:U264" si="175">+H264</f>
        <v>8241359.4199999999</v>
      </c>
      <c r="I263" s="67">
        <f t="shared" si="175"/>
        <v>8312747.7929999996</v>
      </c>
      <c r="J263" s="67">
        <f t="shared" si="175"/>
        <v>8581771.5066666696</v>
      </c>
      <c r="K263" s="67">
        <f t="shared" si="175"/>
        <v>8162039</v>
      </c>
      <c r="L263" s="67">
        <f t="shared" si="175"/>
        <v>8412657.1300000008</v>
      </c>
      <c r="M263" s="67">
        <f t="shared" si="175"/>
        <v>8162039</v>
      </c>
      <c r="N263" s="67">
        <f t="shared" si="175"/>
        <v>8233427.3799999999</v>
      </c>
      <c r="O263" s="67">
        <f t="shared" si="175"/>
        <v>8415864.3499999996</v>
      </c>
      <c r="P263" s="67">
        <f t="shared" si="175"/>
        <v>8273087.4900000002</v>
      </c>
      <c r="Q263" s="67">
        <f t="shared" si="175"/>
        <v>8511048.7200000007</v>
      </c>
      <c r="R263" s="67">
        <f t="shared" si="175"/>
        <v>0</v>
      </c>
      <c r="S263" s="67">
        <f t="shared" si="175"/>
        <v>0</v>
      </c>
      <c r="T263" s="67">
        <f t="shared" si="175"/>
        <v>0</v>
      </c>
      <c r="U263" s="67">
        <f t="shared" si="175"/>
        <v>83306041.789666668</v>
      </c>
      <c r="W263" s="64"/>
    </row>
    <row r="264" spans="1:24" s="138" customFormat="1" ht="15.75" thickBot="1" x14ac:dyDescent="0.3">
      <c r="A264" s="137"/>
      <c r="B264" s="22" t="s">
        <v>375</v>
      </c>
      <c r="C264" s="139">
        <f>+C265</f>
        <v>100749814</v>
      </c>
      <c r="D264" s="139"/>
      <c r="E264" s="139"/>
      <c r="F264" s="139"/>
      <c r="G264" s="139">
        <f>+G265</f>
        <v>100749814</v>
      </c>
      <c r="H264" s="139">
        <f t="shared" si="175"/>
        <v>8241359.4199999999</v>
      </c>
      <c r="I264" s="139">
        <f t="shared" si="175"/>
        <v>8312747.7929999996</v>
      </c>
      <c r="J264" s="139">
        <f t="shared" si="175"/>
        <v>8581771.5066666696</v>
      </c>
      <c r="K264" s="139">
        <f t="shared" si="175"/>
        <v>8162039</v>
      </c>
      <c r="L264" s="139">
        <f t="shared" si="175"/>
        <v>8412657.1300000008</v>
      </c>
      <c r="M264" s="139">
        <f t="shared" si="175"/>
        <v>8162039</v>
      </c>
      <c r="N264" s="139">
        <f t="shared" si="175"/>
        <v>8233427.3799999999</v>
      </c>
      <c r="O264" s="139">
        <f t="shared" si="175"/>
        <v>8415864.3499999996</v>
      </c>
      <c r="P264" s="139">
        <f t="shared" si="175"/>
        <v>8273087.4900000002</v>
      </c>
      <c r="Q264" s="139">
        <f t="shared" si="175"/>
        <v>8511048.7200000007</v>
      </c>
      <c r="R264" s="139">
        <f t="shared" si="175"/>
        <v>0</v>
      </c>
      <c r="S264" s="139">
        <f t="shared" si="175"/>
        <v>0</v>
      </c>
      <c r="T264" s="139">
        <f t="shared" si="175"/>
        <v>0</v>
      </c>
      <c r="U264" s="139">
        <f t="shared" si="175"/>
        <v>83306041.789666668</v>
      </c>
      <c r="V264" s="140"/>
      <c r="W264" s="71"/>
    </row>
    <row r="265" spans="1:24" ht="30.75" hidden="1" thickBot="1" x14ac:dyDescent="0.3">
      <c r="B265" s="112" t="s">
        <v>376</v>
      </c>
      <c r="C265" s="113">
        <v>100749814</v>
      </c>
      <c r="D265" s="13">
        <v>3342631.75</v>
      </c>
      <c r="E265" s="13" t="s">
        <v>377</v>
      </c>
      <c r="F265" s="13"/>
      <c r="G265" s="113">
        <v>100749814</v>
      </c>
      <c r="H265" s="25">
        <f>8612538.42-371179</f>
        <v>8241359.4199999999</v>
      </c>
      <c r="I265" s="25">
        <f>7445693.083+867054.71</f>
        <v>8312747.7929999996</v>
      </c>
      <c r="J265" s="25">
        <f>8557619.00666667+24152.5</f>
        <v>8581771.5066666696</v>
      </c>
      <c r="K265" s="25">
        <f>8138314+23725</f>
        <v>8162039</v>
      </c>
      <c r="L265" s="113">
        <v>8412657.1300000008</v>
      </c>
      <c r="M265" s="13">
        <v>8162039</v>
      </c>
      <c r="N265" s="114">
        <f>8229055.88+4371.5</f>
        <v>8233427.3799999999</v>
      </c>
      <c r="O265" s="82">
        <f>8391759.35+24105</f>
        <v>8415864.3499999996</v>
      </c>
      <c r="P265" s="42">
        <v>8273087.4900000002</v>
      </c>
      <c r="Q265" s="83">
        <v>8511048.7200000007</v>
      </c>
      <c r="R265" s="42"/>
      <c r="S265" s="42"/>
      <c r="T265" s="82"/>
      <c r="U265" s="25">
        <f>SUM(H265:T265)</f>
        <v>83306041.789666668</v>
      </c>
      <c r="V265" s="73"/>
      <c r="W265" s="52"/>
    </row>
    <row r="266" spans="1:24" ht="15.75" thickBot="1" x14ac:dyDescent="0.3">
      <c r="A266" s="84"/>
      <c r="B266" s="107" t="s">
        <v>61</v>
      </c>
      <c r="C266" s="62">
        <f t="shared" ref="C266" si="176">+C267</f>
        <v>1610148</v>
      </c>
      <c r="D266" s="62">
        <v>134179</v>
      </c>
      <c r="E266" s="62"/>
      <c r="F266" s="62"/>
      <c r="G266" s="62">
        <f t="shared" ref="G266:U266" si="177">+G267</f>
        <v>1610148</v>
      </c>
      <c r="H266" s="62">
        <f t="shared" si="177"/>
        <v>134179</v>
      </c>
      <c r="I266" s="62">
        <f t="shared" si="177"/>
        <v>134179</v>
      </c>
      <c r="J266" s="62">
        <f t="shared" si="177"/>
        <v>0</v>
      </c>
      <c r="K266" s="62">
        <f t="shared" si="177"/>
        <v>134179</v>
      </c>
      <c r="L266" s="62">
        <f t="shared" si="177"/>
        <v>134179</v>
      </c>
      <c r="M266" s="62">
        <f t="shared" si="177"/>
        <v>134179</v>
      </c>
      <c r="N266" s="62">
        <f t="shared" si="177"/>
        <v>134179</v>
      </c>
      <c r="O266" s="62">
        <f t="shared" si="177"/>
        <v>134179</v>
      </c>
      <c r="P266" s="62">
        <f t="shared" si="177"/>
        <v>134179</v>
      </c>
      <c r="Q266" s="62">
        <f t="shared" si="177"/>
        <v>134179</v>
      </c>
      <c r="R266" s="62">
        <f t="shared" si="177"/>
        <v>0</v>
      </c>
      <c r="S266" s="62">
        <f t="shared" si="177"/>
        <v>0</v>
      </c>
      <c r="T266" s="62">
        <f t="shared" si="177"/>
        <v>0</v>
      </c>
      <c r="U266" s="62">
        <f t="shared" si="177"/>
        <v>1207611</v>
      </c>
      <c r="W266" s="52"/>
    </row>
    <row r="267" spans="1:24" ht="15.75" thickBot="1" x14ac:dyDescent="0.3">
      <c r="B267" s="16" t="s">
        <v>62</v>
      </c>
      <c r="C267" s="110">
        <f>+C269</f>
        <v>1610148</v>
      </c>
      <c r="D267" s="117">
        <v>134179</v>
      </c>
      <c r="E267" s="117"/>
      <c r="F267" s="117"/>
      <c r="G267" s="110">
        <f t="shared" ref="G267:U267" si="178">+G269</f>
        <v>1610148</v>
      </c>
      <c r="H267" s="110">
        <f t="shared" si="178"/>
        <v>134179</v>
      </c>
      <c r="I267" s="110">
        <f t="shared" si="178"/>
        <v>134179</v>
      </c>
      <c r="J267" s="110">
        <f t="shared" si="178"/>
        <v>0</v>
      </c>
      <c r="K267" s="110">
        <f t="shared" si="178"/>
        <v>134179</v>
      </c>
      <c r="L267" s="110">
        <f t="shared" si="178"/>
        <v>134179</v>
      </c>
      <c r="M267" s="110">
        <f t="shared" si="178"/>
        <v>134179</v>
      </c>
      <c r="N267" s="110">
        <f t="shared" si="178"/>
        <v>134179</v>
      </c>
      <c r="O267" s="110">
        <f t="shared" si="178"/>
        <v>134179</v>
      </c>
      <c r="P267" s="110">
        <f t="shared" si="178"/>
        <v>134179</v>
      </c>
      <c r="Q267" s="110">
        <f t="shared" si="178"/>
        <v>134179</v>
      </c>
      <c r="R267" s="110">
        <f t="shared" si="178"/>
        <v>0</v>
      </c>
      <c r="S267" s="110">
        <f t="shared" si="178"/>
        <v>0</v>
      </c>
      <c r="T267" s="110">
        <f t="shared" si="178"/>
        <v>0</v>
      </c>
      <c r="U267" s="110">
        <f t="shared" si="178"/>
        <v>1207611</v>
      </c>
      <c r="V267" s="142"/>
    </row>
    <row r="268" spans="1:24" ht="15.75" hidden="1" thickBot="1" x14ac:dyDescent="0.3">
      <c r="B268" s="69" t="s">
        <v>378</v>
      </c>
      <c r="C268" s="88">
        <f>+C269</f>
        <v>1610148</v>
      </c>
      <c r="D268" s="76"/>
      <c r="E268" s="76"/>
      <c r="F268" s="76"/>
      <c r="G268" s="88">
        <f t="shared" ref="G268:U268" si="179">+G269</f>
        <v>1610148</v>
      </c>
      <c r="H268" s="88">
        <f t="shared" si="179"/>
        <v>134179</v>
      </c>
      <c r="I268" s="88">
        <f t="shared" si="179"/>
        <v>134179</v>
      </c>
      <c r="J268" s="88">
        <f t="shared" si="179"/>
        <v>0</v>
      </c>
      <c r="K268" s="88">
        <f t="shared" si="179"/>
        <v>134179</v>
      </c>
      <c r="L268" s="88">
        <f t="shared" si="179"/>
        <v>134179</v>
      </c>
      <c r="M268" s="88">
        <f t="shared" si="179"/>
        <v>134179</v>
      </c>
      <c r="N268" s="88">
        <f t="shared" si="179"/>
        <v>134179</v>
      </c>
      <c r="O268" s="88">
        <f t="shared" si="179"/>
        <v>134179</v>
      </c>
      <c r="P268" s="88">
        <f t="shared" si="179"/>
        <v>134179</v>
      </c>
      <c r="Q268" s="88">
        <f t="shared" si="179"/>
        <v>134179</v>
      </c>
      <c r="R268" s="88">
        <f t="shared" si="179"/>
        <v>0</v>
      </c>
      <c r="S268" s="88">
        <f t="shared" si="179"/>
        <v>0</v>
      </c>
      <c r="T268" s="88">
        <f t="shared" si="179"/>
        <v>0</v>
      </c>
      <c r="U268" s="88">
        <f t="shared" si="179"/>
        <v>1207611</v>
      </c>
    </row>
    <row r="269" spans="1:24" ht="15.75" hidden="1" thickBot="1" x14ac:dyDescent="0.3">
      <c r="B269" t="s">
        <v>315</v>
      </c>
      <c r="C269" s="13">
        <v>1610148</v>
      </c>
      <c r="D269" s="13">
        <v>134179</v>
      </c>
      <c r="E269" s="13">
        <v>134179</v>
      </c>
      <c r="F269" s="13"/>
      <c r="G269" s="13">
        <v>1610148</v>
      </c>
      <c r="H269" s="13">
        <v>134179</v>
      </c>
      <c r="I269" s="13">
        <v>134179</v>
      </c>
      <c r="J269" s="13"/>
      <c r="K269" s="13">
        <v>134179</v>
      </c>
      <c r="L269" s="13">
        <v>134179</v>
      </c>
      <c r="M269" s="13">
        <v>134179</v>
      </c>
      <c r="N269" s="13">
        <v>134179</v>
      </c>
      <c r="O269" s="13">
        <v>134179</v>
      </c>
      <c r="P269" s="13">
        <v>134179</v>
      </c>
      <c r="Q269" s="13">
        <v>134179</v>
      </c>
      <c r="U269" s="25">
        <f>SUM(H269:T269)</f>
        <v>1207611</v>
      </c>
    </row>
    <row r="270" spans="1:24" ht="15.75" thickBot="1" x14ac:dyDescent="0.3">
      <c r="A270" s="108" t="s">
        <v>379</v>
      </c>
      <c r="B270" s="45"/>
      <c r="C270" s="62">
        <f t="shared" ref="C270:C271" si="180">+C271</f>
        <v>630652835</v>
      </c>
      <c r="D270" s="62">
        <v>57611723.666666664</v>
      </c>
      <c r="E270" s="62"/>
      <c r="F270" s="62"/>
      <c r="G270" s="62">
        <f t="shared" ref="G270:U271" si="181">+G271</f>
        <v>580484251.67000008</v>
      </c>
      <c r="H270" s="62">
        <f t="shared" si="181"/>
        <v>34532940</v>
      </c>
      <c r="I270" s="62">
        <f t="shared" si="181"/>
        <v>43997420.980000004</v>
      </c>
      <c r="J270" s="62">
        <f t="shared" si="181"/>
        <v>38476465</v>
      </c>
      <c r="K270" s="62">
        <f t="shared" si="181"/>
        <v>53872981.990000002</v>
      </c>
      <c r="L270" s="62">
        <f t="shared" si="181"/>
        <v>42153064.259999998</v>
      </c>
      <c r="M270" s="62">
        <f t="shared" si="181"/>
        <v>46080019.850000001</v>
      </c>
      <c r="N270" s="62">
        <f t="shared" si="181"/>
        <v>39765752.079999998</v>
      </c>
      <c r="O270" s="62">
        <f t="shared" si="181"/>
        <v>39138586.159999996</v>
      </c>
      <c r="P270" s="62">
        <f t="shared" si="181"/>
        <v>42689961</v>
      </c>
      <c r="Q270" s="62">
        <f t="shared" si="181"/>
        <v>57809246.299999997</v>
      </c>
      <c r="R270" s="62">
        <f t="shared" si="181"/>
        <v>0</v>
      </c>
      <c r="S270" s="62">
        <f t="shared" si="181"/>
        <v>0</v>
      </c>
      <c r="T270" s="62">
        <f t="shared" si="181"/>
        <v>0</v>
      </c>
      <c r="U270" s="62">
        <f t="shared" si="181"/>
        <v>431673437.62</v>
      </c>
    </row>
    <row r="271" spans="1:24" ht="15.75" thickBot="1" x14ac:dyDescent="0.3">
      <c r="A271" s="84"/>
      <c r="B271" s="115" t="s">
        <v>45</v>
      </c>
      <c r="C271" s="63">
        <f t="shared" si="180"/>
        <v>630652835</v>
      </c>
      <c r="D271" s="62">
        <v>57611723.666666664</v>
      </c>
      <c r="E271" s="62" t="s">
        <v>380</v>
      </c>
      <c r="F271" s="62">
        <f>SUM(F276)</f>
        <v>-50168583.329999998</v>
      </c>
      <c r="G271" s="63">
        <f t="shared" si="181"/>
        <v>580484251.67000008</v>
      </c>
      <c r="H271" s="63">
        <f t="shared" si="181"/>
        <v>34532940</v>
      </c>
      <c r="I271" s="63">
        <f t="shared" si="181"/>
        <v>43997420.980000004</v>
      </c>
      <c r="J271" s="63">
        <f t="shared" si="181"/>
        <v>38476465</v>
      </c>
      <c r="K271" s="63">
        <f t="shared" si="181"/>
        <v>53872981.990000002</v>
      </c>
      <c r="L271" s="63">
        <f t="shared" si="181"/>
        <v>42153064.259999998</v>
      </c>
      <c r="M271" s="63">
        <f t="shared" si="181"/>
        <v>46080019.850000001</v>
      </c>
      <c r="N271" s="63">
        <f t="shared" si="181"/>
        <v>39765752.079999998</v>
      </c>
      <c r="O271" s="63">
        <f t="shared" si="181"/>
        <v>39138586.159999996</v>
      </c>
      <c r="P271" s="63">
        <f t="shared" si="181"/>
        <v>42689961</v>
      </c>
      <c r="Q271" s="63">
        <f>+Q272</f>
        <v>57809246.299999997</v>
      </c>
      <c r="R271" s="63">
        <f t="shared" si="181"/>
        <v>0</v>
      </c>
      <c r="S271" s="63">
        <f t="shared" si="181"/>
        <v>0</v>
      </c>
      <c r="T271" s="63">
        <f t="shared" si="181"/>
        <v>0</v>
      </c>
      <c r="U271" s="63">
        <f t="shared" si="181"/>
        <v>431673437.62</v>
      </c>
      <c r="W271" s="64"/>
      <c r="X271" s="65"/>
    </row>
    <row r="272" spans="1:24" x14ac:dyDescent="0.25">
      <c r="B272" s="16" t="s">
        <v>46</v>
      </c>
      <c r="C272" s="117">
        <f>+C273+C275+C278+C281+C284</f>
        <v>630652835</v>
      </c>
      <c r="D272" s="117">
        <v>57611723.666666664</v>
      </c>
      <c r="E272" s="117"/>
      <c r="F272" s="117"/>
      <c r="G272" s="117">
        <f t="shared" ref="G272:P272" si="182">+G273+G275+G278+G281+G284</f>
        <v>580484251.67000008</v>
      </c>
      <c r="H272" s="117">
        <f>+H273+H275+H278+H281+H284</f>
        <v>34532940</v>
      </c>
      <c r="I272" s="117">
        <f t="shared" si="182"/>
        <v>43997420.980000004</v>
      </c>
      <c r="J272" s="117">
        <f t="shared" si="182"/>
        <v>38476465</v>
      </c>
      <c r="K272" s="117">
        <f t="shared" si="182"/>
        <v>53872981.990000002</v>
      </c>
      <c r="L272" s="117">
        <f t="shared" si="182"/>
        <v>42153064.259999998</v>
      </c>
      <c r="M272" s="117">
        <f t="shared" si="182"/>
        <v>46080019.850000001</v>
      </c>
      <c r="N272" s="117">
        <f t="shared" si="182"/>
        <v>39765752.079999998</v>
      </c>
      <c r="O272" s="117">
        <f t="shared" si="182"/>
        <v>39138586.159999996</v>
      </c>
      <c r="P272" s="117">
        <f t="shared" si="182"/>
        <v>42689961</v>
      </c>
      <c r="Q272" s="117">
        <f>+Q273+Q275+Q278+Q281+Q284</f>
        <v>57809246.299999997</v>
      </c>
      <c r="R272" s="117">
        <f t="shared" ref="R272:U272" si="183">+R273+R275+R278+R281+R284</f>
        <v>0</v>
      </c>
      <c r="S272" s="117">
        <f t="shared" si="183"/>
        <v>0</v>
      </c>
      <c r="T272" s="117">
        <f t="shared" si="183"/>
        <v>0</v>
      </c>
      <c r="U272" s="117">
        <f t="shared" si="183"/>
        <v>431673437.62</v>
      </c>
      <c r="V272" s="142"/>
      <c r="W272" s="64"/>
      <c r="X272" s="65"/>
    </row>
    <row r="273" spans="1:24" hidden="1" x14ac:dyDescent="0.25">
      <c r="B273" s="16" t="s">
        <v>381</v>
      </c>
      <c r="C273" s="117">
        <f>+C274</f>
        <v>37500000</v>
      </c>
      <c r="D273" s="117"/>
      <c r="E273" s="117"/>
      <c r="F273" s="117"/>
      <c r="G273" s="117">
        <f t="shared" ref="G273:U273" si="184">+G274</f>
        <v>37500000</v>
      </c>
      <c r="H273" s="117">
        <f t="shared" si="184"/>
        <v>0</v>
      </c>
      <c r="I273" s="117">
        <f t="shared" si="184"/>
        <v>0</v>
      </c>
      <c r="J273" s="117">
        <f t="shared" si="184"/>
        <v>480000</v>
      </c>
      <c r="K273" s="117">
        <f t="shared" si="184"/>
        <v>7427581.9500000002</v>
      </c>
      <c r="L273" s="117">
        <f t="shared" si="184"/>
        <v>5324666.93</v>
      </c>
      <c r="M273" s="117">
        <f t="shared" si="184"/>
        <v>7655548.8499999996</v>
      </c>
      <c r="N273" s="117">
        <f t="shared" si="184"/>
        <v>1338333.33</v>
      </c>
      <c r="O273" s="117">
        <f t="shared" si="184"/>
        <v>300000</v>
      </c>
      <c r="P273" s="117">
        <f t="shared" si="184"/>
        <v>0</v>
      </c>
      <c r="Q273" s="117">
        <f t="shared" si="184"/>
        <v>888444.48</v>
      </c>
      <c r="R273" s="117">
        <f t="shared" si="184"/>
        <v>0</v>
      </c>
      <c r="S273" s="117">
        <f t="shared" si="184"/>
        <v>0</v>
      </c>
      <c r="T273" s="117">
        <f t="shared" si="184"/>
        <v>0</v>
      </c>
      <c r="U273" s="117">
        <f t="shared" si="184"/>
        <v>23414575.539999995</v>
      </c>
      <c r="V273" s="142"/>
      <c r="W273" s="64"/>
      <c r="X273" s="65"/>
    </row>
    <row r="274" spans="1:24" hidden="1" x14ac:dyDescent="0.25">
      <c r="B274" t="s">
        <v>382</v>
      </c>
      <c r="C274" s="117">
        <v>37500000</v>
      </c>
      <c r="D274" s="117">
        <v>3125000</v>
      </c>
      <c r="E274" s="117"/>
      <c r="F274" s="117"/>
      <c r="G274" s="117">
        <v>37500000</v>
      </c>
      <c r="H274" s="117">
        <v>0</v>
      </c>
      <c r="I274" s="117">
        <v>0</v>
      </c>
      <c r="J274" s="25">
        <v>480000</v>
      </c>
      <c r="K274" s="25">
        <v>7427581.9500000002</v>
      </c>
      <c r="L274" s="117">
        <f>+'[1]REVISIÓN MAYO 2025'!$C$148</f>
        <v>5324666.93</v>
      </c>
      <c r="M274" s="117">
        <v>7655548.8499999996</v>
      </c>
      <c r="N274" s="74">
        <v>1338333.33</v>
      </c>
      <c r="O274" s="74">
        <v>300000</v>
      </c>
      <c r="P274" s="26"/>
      <c r="Q274" s="73">
        <v>888444.48</v>
      </c>
      <c r="R274" s="26"/>
      <c r="S274" s="26"/>
      <c r="T274" s="74"/>
      <c r="U274" s="25">
        <f>SUM(H274:T274)</f>
        <v>23414575.539999995</v>
      </c>
      <c r="V274" s="142"/>
      <c r="W274" s="64"/>
    </row>
    <row r="275" spans="1:24" hidden="1" x14ac:dyDescent="0.25">
      <c r="B275" t="s">
        <v>383</v>
      </c>
      <c r="C275" s="117">
        <f>+C276+C277</f>
        <v>521240570</v>
      </c>
      <c r="D275" s="117"/>
      <c r="E275" s="117"/>
      <c r="F275" s="117"/>
      <c r="G275" s="117">
        <f t="shared" ref="G275:U275" si="185">+G276+G277</f>
        <v>471071986.67000002</v>
      </c>
      <c r="H275" s="117">
        <f t="shared" si="185"/>
        <v>30912940</v>
      </c>
      <c r="I275" s="117">
        <f t="shared" si="185"/>
        <v>32441835.98</v>
      </c>
      <c r="J275" s="117">
        <f t="shared" si="185"/>
        <v>33814525</v>
      </c>
      <c r="K275" s="117">
        <f t="shared" si="185"/>
        <v>32701260.039999999</v>
      </c>
      <c r="L275" s="117">
        <f t="shared" si="185"/>
        <v>33172157.329999998</v>
      </c>
      <c r="M275" s="117">
        <f t="shared" si="185"/>
        <v>33985981</v>
      </c>
      <c r="N275" s="117">
        <f t="shared" si="185"/>
        <v>34442578.75</v>
      </c>
      <c r="O275" s="117">
        <f t="shared" si="185"/>
        <v>34963346.159999996</v>
      </c>
      <c r="P275" s="117">
        <f t="shared" si="185"/>
        <v>33475386</v>
      </c>
      <c r="Q275" s="117">
        <f t="shared" si="185"/>
        <v>52570171.82</v>
      </c>
      <c r="R275" s="117">
        <f t="shared" si="185"/>
        <v>0</v>
      </c>
      <c r="S275" s="117">
        <f t="shared" si="185"/>
        <v>0</v>
      </c>
      <c r="T275" s="117">
        <f t="shared" si="185"/>
        <v>0</v>
      </c>
      <c r="U275" s="117">
        <f t="shared" si="185"/>
        <v>352480182.07999998</v>
      </c>
      <c r="V275" s="142"/>
      <c r="W275" s="64"/>
    </row>
    <row r="276" spans="1:24" hidden="1" x14ac:dyDescent="0.25">
      <c r="B276" t="s">
        <v>384</v>
      </c>
      <c r="C276" s="117">
        <v>447500000</v>
      </c>
      <c r="D276" s="117">
        <v>37295833.333333336</v>
      </c>
      <c r="E276" s="117" t="s">
        <v>385</v>
      </c>
      <c r="F276" s="117">
        <v>-50168583.329999998</v>
      </c>
      <c r="G276" s="117">
        <f>+C276+F276</f>
        <v>397331416.67000002</v>
      </c>
      <c r="H276" s="25">
        <v>30310500</v>
      </c>
      <c r="I276" s="25">
        <v>30354500</v>
      </c>
      <c r="J276" s="25">
        <v>30735000</v>
      </c>
      <c r="K276" s="25">
        <v>30706500</v>
      </c>
      <c r="L276" s="117">
        <f>+'[1]REVISIÓN MAYO 2025'!$C$149</f>
        <v>30657000</v>
      </c>
      <c r="M276" s="117">
        <v>30837000</v>
      </c>
      <c r="N276" s="74">
        <v>30971500</v>
      </c>
      <c r="O276" s="74">
        <v>30951500</v>
      </c>
      <c r="P276" s="26">
        <v>31504000</v>
      </c>
      <c r="Q276" s="73">
        <v>31559500</v>
      </c>
      <c r="R276" s="26"/>
      <c r="S276" s="26"/>
      <c r="T276" s="74"/>
      <c r="U276" s="25">
        <f>SUM(H276:T276)</f>
        <v>308587000</v>
      </c>
      <c r="V276" s="142"/>
      <c r="W276" s="64"/>
    </row>
    <row r="277" spans="1:24" hidden="1" x14ac:dyDescent="0.25">
      <c r="B277" t="s">
        <v>386</v>
      </c>
      <c r="C277" s="117">
        <v>73740570</v>
      </c>
      <c r="D277" s="117">
        <v>6145047.5</v>
      </c>
      <c r="E277" s="117" t="s">
        <v>387</v>
      </c>
      <c r="F277" s="117"/>
      <c r="G277" s="117">
        <v>73740570</v>
      </c>
      <c r="H277" s="25">
        <v>602440</v>
      </c>
      <c r="I277" s="25">
        <v>2087335.98</v>
      </c>
      <c r="J277" s="25">
        <v>3079525</v>
      </c>
      <c r="K277" s="25">
        <v>1994760.04</v>
      </c>
      <c r="L277" s="117">
        <f>+'[1]REVISIÓN MAYO 2025'!$C$150</f>
        <v>2515157.33</v>
      </c>
      <c r="M277" s="117">
        <v>3148981</v>
      </c>
      <c r="N277" s="74">
        <v>3471078.75</v>
      </c>
      <c r="O277" s="74">
        <v>4011846.16</v>
      </c>
      <c r="P277" s="26">
        <v>1971386</v>
      </c>
      <c r="Q277" s="73">
        <v>21010671.82</v>
      </c>
      <c r="R277" s="26"/>
      <c r="S277" s="26"/>
      <c r="T277" s="74"/>
      <c r="U277" s="25">
        <f>SUM(H277:T277)</f>
        <v>43893182.079999998</v>
      </c>
      <c r="V277" s="142"/>
      <c r="W277" s="64"/>
    </row>
    <row r="278" spans="1:24" hidden="1" x14ac:dyDescent="0.25">
      <c r="B278" t="s">
        <v>388</v>
      </c>
      <c r="C278" s="117">
        <f>+C279+C280</f>
        <v>31800490</v>
      </c>
      <c r="D278" s="117"/>
      <c r="E278" s="117"/>
      <c r="F278" s="117"/>
      <c r="G278" s="117">
        <f>+G279+G280</f>
        <v>31800490</v>
      </c>
      <c r="H278" s="117">
        <f t="shared" ref="H278:U278" si="186">+H279+H280</f>
        <v>2293000</v>
      </c>
      <c r="I278" s="117">
        <f t="shared" si="186"/>
        <v>2366960</v>
      </c>
      <c r="J278" s="117">
        <f t="shared" si="186"/>
        <v>2556940</v>
      </c>
      <c r="K278" s="117">
        <f t="shared" si="186"/>
        <v>12035140</v>
      </c>
      <c r="L278" s="117">
        <f t="shared" si="186"/>
        <v>2204240</v>
      </c>
      <c r="M278" s="117">
        <f t="shared" si="186"/>
        <v>2179490</v>
      </c>
      <c r="N278" s="117">
        <f t="shared" si="186"/>
        <v>2167840</v>
      </c>
      <c r="O278" s="117">
        <f t="shared" si="186"/>
        <v>2498240</v>
      </c>
      <c r="P278" s="117">
        <f t="shared" si="186"/>
        <v>7712575</v>
      </c>
      <c r="Q278" s="117">
        <f t="shared" si="186"/>
        <v>2167990</v>
      </c>
      <c r="R278" s="117">
        <f t="shared" si="186"/>
        <v>0</v>
      </c>
      <c r="S278" s="117">
        <f t="shared" si="186"/>
        <v>0</v>
      </c>
      <c r="T278" s="117">
        <f t="shared" si="186"/>
        <v>0</v>
      </c>
      <c r="U278" s="117">
        <f t="shared" si="186"/>
        <v>38182415</v>
      </c>
      <c r="V278" s="142"/>
      <c r="W278" s="64"/>
    </row>
    <row r="279" spans="1:24" hidden="1" x14ac:dyDescent="0.25">
      <c r="B279" t="s">
        <v>389</v>
      </c>
      <c r="C279" s="117">
        <v>26800490</v>
      </c>
      <c r="D279" s="117">
        <v>2233374.1666666665</v>
      </c>
      <c r="E279" s="117" t="s">
        <v>390</v>
      </c>
      <c r="F279" s="117"/>
      <c r="G279" s="117">
        <v>26800490</v>
      </c>
      <c r="H279" s="25">
        <v>2293000</v>
      </c>
      <c r="I279" s="25">
        <v>2366960</v>
      </c>
      <c r="J279" s="25">
        <v>2370500</v>
      </c>
      <c r="K279" s="25">
        <v>2360500</v>
      </c>
      <c r="L279" s="117">
        <f>+'[1]REVISIÓN MAYO 2025'!$C$152</f>
        <v>2378500</v>
      </c>
      <c r="M279" s="117">
        <v>2284500</v>
      </c>
      <c r="N279" s="74">
        <v>2354500</v>
      </c>
      <c r="O279" s="74">
        <v>2293500</v>
      </c>
      <c r="P279" s="26">
        <v>2279900</v>
      </c>
      <c r="Q279" s="73">
        <v>2274500</v>
      </c>
      <c r="R279" s="26"/>
      <c r="S279" s="26"/>
      <c r="T279" s="74"/>
      <c r="U279" s="25">
        <f>SUM(H279:T279)</f>
        <v>23256360</v>
      </c>
      <c r="V279" s="142"/>
      <c r="W279" s="64"/>
    </row>
    <row r="280" spans="1:24" ht="13.5" hidden="1" customHeight="1" x14ac:dyDescent="0.25">
      <c r="B280" t="s">
        <v>391</v>
      </c>
      <c r="C280" s="110">
        <v>5000000</v>
      </c>
      <c r="D280" s="117">
        <v>416666.66666666669</v>
      </c>
      <c r="E280" s="117"/>
      <c r="F280" s="117"/>
      <c r="G280" s="110">
        <v>5000000</v>
      </c>
      <c r="H280" s="117"/>
      <c r="I280" s="117">
        <v>0</v>
      </c>
      <c r="J280" s="117">
        <v>186440</v>
      </c>
      <c r="K280" s="25">
        <v>9674640</v>
      </c>
      <c r="L280" s="110">
        <v>-174260</v>
      </c>
      <c r="M280" s="117">
        <v>-105010</v>
      </c>
      <c r="N280" s="117">
        <v>-186660</v>
      </c>
      <c r="O280" s="74">
        <v>204740</v>
      </c>
      <c r="P280" s="26">
        <v>5432675</v>
      </c>
      <c r="Q280" s="73">
        <v>-106510</v>
      </c>
      <c r="R280" s="26"/>
      <c r="S280" s="26"/>
      <c r="T280" s="74"/>
      <c r="U280" s="25">
        <f>SUM(H280:T280)</f>
        <v>14926055</v>
      </c>
      <c r="V280"/>
      <c r="W280" s="64"/>
    </row>
    <row r="281" spans="1:24" ht="13.5" hidden="1" customHeight="1" x14ac:dyDescent="0.25">
      <c r="B281" s="112" t="s">
        <v>392</v>
      </c>
      <c r="C281" s="110">
        <f>+C282</f>
        <v>40111775</v>
      </c>
      <c r="D281" s="117"/>
      <c r="E281" s="117"/>
      <c r="F281" s="117"/>
      <c r="G281" s="110">
        <f t="shared" ref="G281:U281" si="187">+G282</f>
        <v>40111775</v>
      </c>
      <c r="H281" s="110">
        <f t="shared" si="187"/>
        <v>1327000</v>
      </c>
      <c r="I281" s="110">
        <f t="shared" si="187"/>
        <v>1996800</v>
      </c>
      <c r="J281" s="110">
        <f t="shared" si="187"/>
        <v>1625000</v>
      </c>
      <c r="K281" s="110">
        <f t="shared" si="187"/>
        <v>1709000</v>
      </c>
      <c r="L281" s="110">
        <f t="shared" si="187"/>
        <v>1452000</v>
      </c>
      <c r="M281" s="110">
        <f t="shared" si="187"/>
        <v>2259000</v>
      </c>
      <c r="N281" s="110">
        <f t="shared" si="187"/>
        <v>1817000</v>
      </c>
      <c r="O281" s="110">
        <f t="shared" si="187"/>
        <v>1377000</v>
      </c>
      <c r="P281" s="110">
        <f t="shared" si="187"/>
        <v>1502000</v>
      </c>
      <c r="Q281" s="110">
        <f t="shared" si="187"/>
        <v>2147000</v>
      </c>
      <c r="R281" s="110">
        <f t="shared" si="187"/>
        <v>0</v>
      </c>
      <c r="S281" s="110">
        <f t="shared" si="187"/>
        <v>0</v>
      </c>
      <c r="T281" s="110">
        <f t="shared" si="187"/>
        <v>0</v>
      </c>
      <c r="U281" s="110">
        <f t="shared" si="187"/>
        <v>10368800</v>
      </c>
      <c r="V281"/>
      <c r="W281" s="64"/>
    </row>
    <row r="282" spans="1:24" ht="15" hidden="1" customHeight="1" x14ac:dyDescent="0.25">
      <c r="B282" s="112" t="s">
        <v>393</v>
      </c>
      <c r="C282" s="116">
        <v>40111775</v>
      </c>
      <c r="D282" s="117">
        <v>8395802</v>
      </c>
      <c r="E282" s="117" t="s">
        <v>394</v>
      </c>
      <c r="F282" s="117"/>
      <c r="G282" s="116">
        <v>40111775</v>
      </c>
      <c r="H282" s="116">
        <f t="shared" ref="H282" si="188">+H285+H286</f>
        <v>1327000</v>
      </c>
      <c r="I282" s="116">
        <v>1996800</v>
      </c>
      <c r="J282" s="116">
        <v>1625000</v>
      </c>
      <c r="K282" s="116">
        <v>1709000</v>
      </c>
      <c r="L282" s="116">
        <v>1452000</v>
      </c>
      <c r="M282" s="117">
        <v>2259000</v>
      </c>
      <c r="N282" s="74">
        <v>1817000</v>
      </c>
      <c r="O282" s="74">
        <v>1377000</v>
      </c>
      <c r="P282" s="116">
        <f t="shared" ref="P282" si="189">+P285+P286</f>
        <v>1502000</v>
      </c>
      <c r="Q282" s="116">
        <v>2147000</v>
      </c>
      <c r="R282" s="116"/>
      <c r="S282" s="116">
        <v>0</v>
      </c>
      <c r="T282" s="74"/>
      <c r="U282" s="116">
        <f>SUM(H282:M282)</f>
        <v>10368800</v>
      </c>
      <c r="V282" s="142"/>
      <c r="W282" s="52"/>
    </row>
    <row r="283" spans="1:24" ht="15" customHeight="1" x14ac:dyDescent="0.25">
      <c r="B283" s="112" t="s">
        <v>395</v>
      </c>
      <c r="C283" s="116"/>
      <c r="D283" s="117"/>
      <c r="E283" s="117"/>
      <c r="F283" s="117"/>
      <c r="G283" s="116"/>
      <c r="H283" s="116"/>
      <c r="I283" s="116"/>
      <c r="J283" s="116"/>
      <c r="K283" s="116"/>
      <c r="L283" s="116"/>
      <c r="M283" s="117"/>
      <c r="N283" s="74"/>
      <c r="O283" s="74"/>
      <c r="P283" s="116"/>
      <c r="Q283" s="116"/>
      <c r="R283" s="116"/>
      <c r="S283" s="116"/>
      <c r="T283" s="74"/>
      <c r="U283" s="116"/>
      <c r="V283" s="142"/>
      <c r="W283" s="52"/>
    </row>
    <row r="284" spans="1:24" ht="15" hidden="1" customHeight="1" x14ac:dyDescent="0.25">
      <c r="B284" s="112" t="s">
        <v>396</v>
      </c>
      <c r="C284" s="116">
        <f>+C285</f>
        <v>0</v>
      </c>
      <c r="D284" s="117"/>
      <c r="E284" s="117"/>
      <c r="F284" s="117"/>
      <c r="G284" s="116">
        <f t="shared" ref="G284:S284" si="190">+G285</f>
        <v>0</v>
      </c>
      <c r="H284" s="116">
        <f t="shared" si="190"/>
        <v>0</v>
      </c>
      <c r="I284" s="116">
        <f t="shared" si="190"/>
        <v>7191825</v>
      </c>
      <c r="J284" s="116">
        <f t="shared" si="190"/>
        <v>0</v>
      </c>
      <c r="K284" s="116">
        <f t="shared" si="190"/>
        <v>0</v>
      </c>
      <c r="L284" s="116">
        <f t="shared" si="190"/>
        <v>0</v>
      </c>
      <c r="M284" s="116">
        <f t="shared" si="190"/>
        <v>0</v>
      </c>
      <c r="N284" s="116">
        <f>+N296</f>
        <v>0</v>
      </c>
      <c r="O284" s="116">
        <f>+O296</f>
        <v>0</v>
      </c>
      <c r="P284" s="116">
        <f t="shared" si="190"/>
        <v>0</v>
      </c>
      <c r="Q284" s="116">
        <f t="shared" si="190"/>
        <v>35640</v>
      </c>
      <c r="R284" s="116">
        <f t="shared" si="190"/>
        <v>0</v>
      </c>
      <c r="S284" s="116">
        <f t="shared" si="190"/>
        <v>0</v>
      </c>
      <c r="T284" s="116">
        <f>+T296</f>
        <v>0</v>
      </c>
      <c r="U284" s="116">
        <f t="shared" ref="U284" si="191">+U285</f>
        <v>7227465</v>
      </c>
      <c r="V284" s="142"/>
      <c r="W284" s="52"/>
    </row>
    <row r="285" spans="1:24" ht="15" hidden="1" customHeight="1" x14ac:dyDescent="0.25">
      <c r="B285" s="112" t="s">
        <v>397</v>
      </c>
      <c r="C285" s="117"/>
      <c r="D285" s="117"/>
      <c r="E285" s="117"/>
      <c r="F285" s="117"/>
      <c r="G285" s="117"/>
      <c r="H285" s="117"/>
      <c r="I285" s="117">
        <v>7191825</v>
      </c>
      <c r="J285" s="25"/>
      <c r="K285" s="117"/>
      <c r="L285" s="117"/>
      <c r="M285" s="117"/>
      <c r="N285" s="117"/>
      <c r="O285" s="117"/>
      <c r="P285" s="117"/>
      <c r="Q285" s="149">
        <v>35640</v>
      </c>
      <c r="R285" s="117"/>
      <c r="S285" s="117"/>
      <c r="T285" s="117"/>
      <c r="U285" s="25">
        <f>SUM(H285:T285)</f>
        <v>7227465</v>
      </c>
      <c r="V285" s="142"/>
      <c r="W285" s="52"/>
    </row>
    <row r="286" spans="1:24" ht="14.25" hidden="1" customHeight="1" x14ac:dyDescent="0.25">
      <c r="B286" s="112" t="s">
        <v>393</v>
      </c>
      <c r="C286" s="30">
        <v>15000000</v>
      </c>
      <c r="D286" s="117"/>
      <c r="E286" s="117"/>
      <c r="F286" s="117"/>
      <c r="G286" s="30">
        <v>15000000</v>
      </c>
      <c r="H286" s="25">
        <v>1327000</v>
      </c>
      <c r="I286" s="25">
        <v>1996800</v>
      </c>
      <c r="J286" s="25">
        <v>1625000</v>
      </c>
      <c r="K286" s="25">
        <v>1709000</v>
      </c>
      <c r="L286" s="30">
        <f>+'[1]REVISIÓN MAYO 2025'!$C$155</f>
        <v>1452000</v>
      </c>
      <c r="M286" s="117">
        <v>2259000</v>
      </c>
      <c r="N286" s="117"/>
      <c r="O286" s="117"/>
      <c r="P286" s="26">
        <v>1502000</v>
      </c>
      <c r="Q286" s="26">
        <v>1502000</v>
      </c>
      <c r="R286" s="26"/>
      <c r="S286" s="26">
        <v>1502000</v>
      </c>
      <c r="T286" s="117"/>
      <c r="U286" s="25">
        <f>SUM(H286:T286)</f>
        <v>14874800</v>
      </c>
      <c r="V286" s="142"/>
    </row>
    <row r="287" spans="1:24" ht="15" hidden="1" customHeight="1" x14ac:dyDescent="0.25">
      <c r="A287" s="150"/>
      <c r="B287" s="151" t="s">
        <v>52</v>
      </c>
      <c r="C287" s="152"/>
      <c r="D287" s="117"/>
      <c r="E287" s="117"/>
      <c r="F287" s="117"/>
      <c r="G287" s="152"/>
      <c r="H287" s="117"/>
      <c r="I287" s="25"/>
      <c r="J287" s="25"/>
      <c r="K287" s="117"/>
      <c r="L287" s="152"/>
      <c r="M287" s="117"/>
      <c r="N287" s="117"/>
      <c r="O287" s="117"/>
      <c r="P287" s="117"/>
      <c r="Q287" s="117"/>
      <c r="R287" s="117"/>
      <c r="S287" s="117"/>
      <c r="T287" s="117"/>
      <c r="U287" s="25">
        <f>SUM(H287:T287)</f>
        <v>0</v>
      </c>
      <c r="V287" s="142"/>
    </row>
    <row r="288" spans="1:24" ht="13.5" hidden="1" customHeight="1" x14ac:dyDescent="0.25">
      <c r="B288" s="112" t="s">
        <v>398</v>
      </c>
      <c r="D288" s="117"/>
      <c r="E288" s="117"/>
      <c r="F288" s="117"/>
      <c r="H288" s="117"/>
      <c r="I288" s="117"/>
      <c r="J288" s="117"/>
      <c r="K288" s="117"/>
      <c r="L288" s="118"/>
      <c r="M288" s="117"/>
      <c r="N288" s="117"/>
      <c r="O288" s="117"/>
      <c r="P288" s="117"/>
      <c r="Q288" s="117"/>
      <c r="R288" s="117"/>
      <c r="S288" s="117"/>
      <c r="T288" s="117"/>
      <c r="U288" s="117"/>
      <c r="V288" s="142"/>
    </row>
    <row r="289" spans="1:23" ht="16.5" hidden="1" customHeight="1" x14ac:dyDescent="0.25">
      <c r="B289" s="153" t="s">
        <v>399</v>
      </c>
      <c r="C289" s="119"/>
      <c r="D289" s="117"/>
      <c r="E289" s="117"/>
      <c r="F289" s="117"/>
      <c r="G289" s="119"/>
      <c r="H289" s="117"/>
      <c r="I289" s="117"/>
      <c r="J289" s="117"/>
      <c r="K289" s="117"/>
      <c r="L289" s="119"/>
      <c r="M289" s="117"/>
      <c r="N289" s="117"/>
      <c r="O289" s="117"/>
      <c r="P289" s="117"/>
      <c r="Q289" s="117"/>
      <c r="R289" s="117"/>
      <c r="S289" s="117"/>
      <c r="T289" s="117"/>
      <c r="U289" s="117"/>
      <c r="V289" s="142"/>
    </row>
    <row r="290" spans="1:23" ht="18" hidden="1" customHeight="1" x14ac:dyDescent="0.25">
      <c r="B290" s="153" t="s">
        <v>400</v>
      </c>
      <c r="C290" s="119"/>
      <c r="D290" s="117"/>
      <c r="E290" s="117"/>
      <c r="F290" s="117"/>
      <c r="G290" s="119"/>
      <c r="H290" s="117"/>
      <c r="I290" s="117"/>
      <c r="J290" s="117"/>
      <c r="K290" s="117"/>
      <c r="L290" s="119"/>
      <c r="M290" s="117"/>
      <c r="N290" s="117"/>
      <c r="O290" s="117"/>
      <c r="P290" s="117"/>
      <c r="Q290" s="117"/>
      <c r="R290" s="117"/>
      <c r="S290" s="117"/>
      <c r="T290" s="117"/>
      <c r="U290" s="117"/>
      <c r="V290" s="142"/>
    </row>
    <row r="291" spans="1:23" ht="15" hidden="1" customHeight="1" x14ac:dyDescent="0.25">
      <c r="B291" s="112" t="s">
        <v>401</v>
      </c>
      <c r="C291" s="119"/>
      <c r="D291" s="117"/>
      <c r="E291" s="117"/>
      <c r="F291" s="117"/>
      <c r="G291" s="119"/>
      <c r="H291" s="117"/>
      <c r="I291" s="117"/>
      <c r="J291" s="117"/>
      <c r="K291" s="117"/>
      <c r="L291" s="119"/>
      <c r="M291" s="117"/>
      <c r="N291" s="117"/>
      <c r="O291" s="117"/>
      <c r="P291" s="117"/>
      <c r="Q291" s="117"/>
      <c r="R291" s="117"/>
      <c r="S291" s="117"/>
      <c r="T291" s="117"/>
      <c r="U291" s="117"/>
      <c r="V291" s="142"/>
    </row>
    <row r="292" spans="1:23" ht="12.75" hidden="1" customHeight="1" x14ac:dyDescent="0.25">
      <c r="A292" t="s">
        <v>402</v>
      </c>
      <c r="C292" s="119"/>
      <c r="D292" s="117"/>
      <c r="E292" s="117"/>
      <c r="F292" s="117"/>
      <c r="G292" s="119"/>
      <c r="H292" s="117"/>
      <c r="I292" s="117"/>
      <c r="J292" s="117"/>
      <c r="K292" s="117"/>
      <c r="L292" s="119"/>
      <c r="M292" s="117"/>
      <c r="N292" s="117"/>
      <c r="O292" s="117"/>
      <c r="P292" s="117"/>
      <c r="Q292" s="117"/>
      <c r="R292" s="117"/>
      <c r="S292" s="117"/>
      <c r="T292" s="117"/>
      <c r="U292" s="117"/>
      <c r="V292" s="142"/>
    </row>
    <row r="293" spans="1:23" hidden="1" x14ac:dyDescent="0.25">
      <c r="B293" s="112">
        <v>2492</v>
      </c>
      <c r="C293" s="119"/>
      <c r="D293" s="117"/>
      <c r="E293" s="117"/>
      <c r="F293" s="117"/>
      <c r="G293" s="119"/>
      <c r="H293" s="117"/>
      <c r="I293" s="117"/>
      <c r="J293" s="25"/>
      <c r="K293" s="117"/>
      <c r="L293" s="119"/>
      <c r="M293" s="117"/>
      <c r="N293" s="117"/>
      <c r="O293" s="117"/>
      <c r="P293" s="117"/>
      <c r="Q293" s="117"/>
      <c r="R293" s="117"/>
      <c r="S293" s="117"/>
      <c r="T293" s="117"/>
      <c r="U293" s="117"/>
      <c r="V293" s="142"/>
    </row>
    <row r="294" spans="1:23" ht="16.5" hidden="1" customHeight="1" x14ac:dyDescent="0.25">
      <c r="B294" s="112" t="s">
        <v>403</v>
      </c>
      <c r="C294" s="119"/>
      <c r="D294" s="117"/>
      <c r="E294" s="117"/>
      <c r="F294" s="117"/>
      <c r="G294" s="119"/>
      <c r="H294" s="117"/>
      <c r="I294" s="117"/>
      <c r="J294" s="25"/>
      <c r="K294" s="117"/>
      <c r="L294" s="119"/>
      <c r="M294" s="117"/>
      <c r="N294" s="117"/>
      <c r="O294" s="117"/>
      <c r="P294" s="117"/>
      <c r="Q294" s="117"/>
      <c r="R294" s="117"/>
      <c r="S294" s="117"/>
      <c r="T294" s="117"/>
      <c r="U294" s="25">
        <f>SUM(H294:T294)</f>
        <v>0</v>
      </c>
      <c r="V294" s="142"/>
      <c r="W294" s="64"/>
    </row>
    <row r="295" spans="1:23" ht="16.5" customHeight="1" x14ac:dyDescent="0.25">
      <c r="B295" s="112" t="s">
        <v>404</v>
      </c>
      <c r="C295" s="119"/>
      <c r="D295" s="117"/>
      <c r="E295" s="117"/>
      <c r="F295" s="117"/>
      <c r="G295" s="119"/>
      <c r="H295" s="117"/>
      <c r="I295" s="117"/>
      <c r="J295" s="25"/>
      <c r="K295" s="117"/>
      <c r="L295" s="119"/>
      <c r="M295" s="117"/>
      <c r="N295" s="117"/>
      <c r="O295" s="117"/>
      <c r="P295" s="117"/>
      <c r="Q295" s="117"/>
      <c r="R295" s="117"/>
      <c r="S295" s="117"/>
      <c r="T295" s="117"/>
      <c r="U295" s="25"/>
      <c r="V295" s="142"/>
      <c r="W295" s="64"/>
    </row>
    <row r="296" spans="1:23" ht="16.5" customHeight="1" thickBot="1" x14ac:dyDescent="0.3">
      <c r="B296" s="112"/>
      <c r="C296" s="119"/>
      <c r="E296" s="13"/>
      <c r="F296" s="13"/>
      <c r="G296" s="119"/>
      <c r="H296" s="13"/>
      <c r="I296" s="13"/>
      <c r="J296" s="25"/>
      <c r="K296" s="13"/>
      <c r="L296" s="119"/>
      <c r="N296" s="120"/>
      <c r="O296" s="120"/>
      <c r="T296" s="120"/>
      <c r="U296" s="25"/>
      <c r="W296" s="64"/>
    </row>
    <row r="297" spans="1:23" ht="15.75" thickBot="1" x14ac:dyDescent="0.3">
      <c r="A297" s="121"/>
      <c r="B297" s="122" t="s">
        <v>405</v>
      </c>
      <c r="C297" s="123">
        <f>+C8</f>
        <v>5896375178</v>
      </c>
      <c r="D297" s="124"/>
      <c r="E297" s="124"/>
      <c r="F297" s="124"/>
      <c r="G297" s="123">
        <v>0</v>
      </c>
      <c r="H297" s="124">
        <v>150000000</v>
      </c>
      <c r="I297" s="125">
        <v>150000000</v>
      </c>
      <c r="J297" s="125"/>
      <c r="K297" s="124"/>
      <c r="L297" s="124">
        <v>25000000</v>
      </c>
      <c r="M297" s="124">
        <v>0</v>
      </c>
      <c r="N297" s="74">
        <v>104688355.70999999</v>
      </c>
      <c r="O297" s="74"/>
      <c r="P297" s="124"/>
      <c r="Q297" s="124"/>
      <c r="R297" s="124"/>
      <c r="S297" s="124"/>
      <c r="T297" s="74"/>
      <c r="U297" s="126">
        <f>SUM(H297:T297)</f>
        <v>429688355.70999998</v>
      </c>
    </row>
    <row r="298" spans="1:23" s="42" customFormat="1" ht="14.25" customHeight="1" thickBot="1" x14ac:dyDescent="0.3">
      <c r="A298" s="127"/>
      <c r="B298" s="62" t="s">
        <v>406</v>
      </c>
      <c r="C298" s="62">
        <f>+C8</f>
        <v>5896375178</v>
      </c>
      <c r="D298" s="62">
        <v>491364566.16000003</v>
      </c>
      <c r="E298" s="62" t="s">
        <v>407</v>
      </c>
      <c r="F298" s="62"/>
      <c r="G298" s="62">
        <f>+G8</f>
        <v>5896375178</v>
      </c>
      <c r="H298" s="62">
        <f>+H227+H10+H297</f>
        <v>629033683.96333337</v>
      </c>
      <c r="I298" s="62">
        <f>+I227+I10+I297+I221</f>
        <v>504425527.77633333</v>
      </c>
      <c r="J298" s="62">
        <f>+J227+J10+J297</f>
        <v>373847435.94999993</v>
      </c>
      <c r="K298" s="62">
        <f>+K227+K10+K297+K213-K221</f>
        <v>653432064.39333332</v>
      </c>
      <c r="L298" s="62">
        <f>+L227+L10+L297+L213</f>
        <v>547288000.81333327</v>
      </c>
      <c r="M298" s="62">
        <f>+M11+M40+M108+M166+M213+M270+M227</f>
        <v>454088440.69333333</v>
      </c>
      <c r="N298" s="62">
        <f>+N227+N213+N10+N297</f>
        <v>577908238.79333329</v>
      </c>
      <c r="O298" s="62">
        <f>+O227+O213+O10+O297</f>
        <v>447274576.96333343</v>
      </c>
      <c r="P298" s="62">
        <f>+P271+P227+P213+P206+P166+P108+P40+P11+P297</f>
        <v>399529499.9133333</v>
      </c>
      <c r="Q298" s="62">
        <f>+Q271+Q227+Q213+Q206+Q166+Q108+Q40+Q11+Q297</f>
        <v>424359686.89333332</v>
      </c>
      <c r="R298" s="62"/>
      <c r="S298" s="62">
        <f>+S271+S227+S213+S206+S166+S108+S40+S11+S297</f>
        <v>0</v>
      </c>
      <c r="T298" s="62">
        <f>+T227+T213+T10+T297</f>
        <v>0</v>
      </c>
      <c r="U298" s="128">
        <f>+U8</f>
        <v>5011187156.1530008</v>
      </c>
    </row>
    <row r="299" spans="1:23" s="42" customFormat="1" x14ac:dyDescent="0.25">
      <c r="C299" s="129"/>
      <c r="D299" s="13"/>
      <c r="F299" s="70"/>
      <c r="G299" s="76"/>
      <c r="H299" s="76"/>
      <c r="I299" s="76"/>
      <c r="J299" s="76"/>
      <c r="K299" s="77"/>
      <c r="L299" s="77"/>
      <c r="M299" s="77"/>
      <c r="N299" s="76"/>
      <c r="O299" s="76"/>
      <c r="P299" s="13"/>
      <c r="Q299" s="13"/>
      <c r="R299" s="13"/>
      <c r="S299" s="13"/>
      <c r="T299" s="76"/>
    </row>
    <row r="300" spans="1:23" x14ac:dyDescent="0.25">
      <c r="C300" s="130"/>
      <c r="G300" s="130"/>
      <c r="H300" s="131"/>
      <c r="I300" s="76"/>
      <c r="J300" s="131"/>
      <c r="K300" s="76"/>
      <c r="L300" s="76"/>
      <c r="M300" s="76"/>
      <c r="N300" s="76"/>
      <c r="O300" s="76"/>
      <c r="P300" s="76"/>
      <c r="Q300" s="76"/>
      <c r="R300" s="76"/>
      <c r="S300" s="76"/>
      <c r="T300" s="76"/>
      <c r="U300" s="13"/>
    </row>
    <row r="301" spans="1:23" x14ac:dyDescent="0.25">
      <c r="C301" s="130"/>
      <c r="G301" s="130"/>
      <c r="H301" s="131"/>
      <c r="I301" s="76"/>
      <c r="J301" s="131"/>
      <c r="K301" s="76"/>
      <c r="L301" s="76"/>
      <c r="M301" s="76"/>
      <c r="N301" s="76"/>
      <c r="O301" s="76"/>
      <c r="P301" s="26"/>
      <c r="Q301" s="26"/>
      <c r="R301" s="26"/>
      <c r="S301" s="26"/>
      <c r="T301" s="76"/>
      <c r="U301" s="13"/>
    </row>
    <row r="302" spans="1:23" x14ac:dyDescent="0.25">
      <c r="C302" s="130"/>
      <c r="G302" s="130"/>
      <c r="H302" s="131"/>
      <c r="I302" s="76"/>
      <c r="J302" s="131"/>
      <c r="K302" s="76"/>
      <c r="L302" s="76"/>
      <c r="M302" s="76"/>
      <c r="N302" s="76"/>
      <c r="O302" s="76"/>
      <c r="P302" s="76"/>
      <c r="Q302" s="76"/>
      <c r="R302" s="76"/>
      <c r="S302" s="76"/>
      <c r="T302" s="76"/>
      <c r="U302" s="13"/>
    </row>
    <row r="303" spans="1:23" x14ac:dyDescent="0.25">
      <c r="C303" s="130"/>
      <c r="G303" s="130"/>
      <c r="H303" s="131"/>
      <c r="I303" s="76"/>
      <c r="J303" s="131"/>
      <c r="K303" s="76"/>
      <c r="L303" s="76"/>
      <c r="M303" s="76"/>
      <c r="N303" s="76"/>
      <c r="O303" s="76"/>
      <c r="T303" s="76"/>
      <c r="U303" s="13"/>
    </row>
    <row r="304" spans="1:23" x14ac:dyDescent="0.25">
      <c r="C304" s="130"/>
      <c r="D304" s="76"/>
      <c r="E304" s="87"/>
      <c r="F304" s="87"/>
      <c r="G304" s="130"/>
      <c r="H304" s="52"/>
      <c r="I304" s="13"/>
      <c r="J304" s="132"/>
      <c r="U304" s="76"/>
      <c r="W304" s="64"/>
    </row>
    <row r="305" spans="2:23" x14ac:dyDescent="0.25">
      <c r="B305" s="133"/>
      <c r="C305" s="130"/>
      <c r="G305" s="130"/>
      <c r="K305" s="133"/>
      <c r="L305" s="52"/>
      <c r="O305" s="134"/>
      <c r="U305" s="52"/>
    </row>
    <row r="306" spans="2:23" x14ac:dyDescent="0.25">
      <c r="B306" s="135"/>
      <c r="C306" s="94"/>
      <c r="G306" s="94"/>
      <c r="K306" s="135"/>
      <c r="O306" s="135"/>
      <c r="U306" s="13"/>
      <c r="W306" s="64"/>
    </row>
    <row r="307" spans="2:23" x14ac:dyDescent="0.25">
      <c r="C307" s="135"/>
      <c r="G307" s="135"/>
      <c r="H307" s="52"/>
      <c r="J307" s="52"/>
      <c r="K307" s="52"/>
      <c r="L307" s="52"/>
      <c r="U307" s="52"/>
    </row>
    <row r="308" spans="2:23" x14ac:dyDescent="0.25">
      <c r="C308" s="94"/>
      <c r="G308" s="94"/>
      <c r="H308" s="52"/>
      <c r="J308" s="13"/>
      <c r="W308" s="64"/>
    </row>
    <row r="309" spans="2:23" x14ac:dyDescent="0.25">
      <c r="C309" s="94"/>
      <c r="G309" s="94"/>
      <c r="H309" s="52"/>
      <c r="J309" s="52"/>
    </row>
    <row r="310" spans="2:23" x14ac:dyDescent="0.25">
      <c r="C310" s="94"/>
      <c r="G310" s="94"/>
      <c r="I310" s="52"/>
      <c r="J310" s="52"/>
      <c r="U310" s="52"/>
      <c r="W310" s="64"/>
    </row>
    <row r="311" spans="2:23" x14ac:dyDescent="0.25">
      <c r="B311" s="136"/>
      <c r="C311" s="94"/>
      <c r="G311" s="94"/>
      <c r="H311" s="65"/>
    </row>
    <row r="312" spans="2:23" x14ac:dyDescent="0.25">
      <c r="C312" s="94"/>
      <c r="G312" s="94"/>
      <c r="H312" s="52"/>
      <c r="W312" s="64"/>
    </row>
    <row r="313" spans="2:23" x14ac:dyDescent="0.25">
      <c r="C313" s="94"/>
      <c r="G313" s="94"/>
      <c r="H313" s="65"/>
    </row>
    <row r="314" spans="2:23" x14ac:dyDescent="0.25">
      <c r="C314" s="94"/>
      <c r="G314" s="94"/>
      <c r="W314" s="64"/>
    </row>
    <row r="315" spans="2:23" x14ac:dyDescent="0.25">
      <c r="C315" s="94"/>
      <c r="G315" s="94"/>
      <c r="H315" s="52"/>
    </row>
    <row r="316" spans="2:23" x14ac:dyDescent="0.25">
      <c r="C316" s="94"/>
      <c r="G316" s="94"/>
      <c r="W316" s="64"/>
    </row>
    <row r="317" spans="2:23" x14ac:dyDescent="0.25">
      <c r="C317" s="52"/>
      <c r="G317" s="52"/>
    </row>
    <row r="318" spans="2:23" x14ac:dyDescent="0.25">
      <c r="C318" s="52"/>
      <c r="G318" s="52"/>
    </row>
    <row r="319" spans="2:23" x14ac:dyDescent="0.25">
      <c r="B319" s="87"/>
      <c r="C319" s="94"/>
      <c r="G319" s="94"/>
      <c r="W319" s="64"/>
    </row>
    <row r="320" spans="2:23" x14ac:dyDescent="0.25">
      <c r="B320" s="87"/>
      <c r="W320" s="64"/>
    </row>
    <row r="321" spans="2:7" x14ac:dyDescent="0.25">
      <c r="C321" s="52"/>
      <c r="G321" s="52"/>
    </row>
    <row r="322" spans="2:7" x14ac:dyDescent="0.25">
      <c r="C322" s="52"/>
      <c r="G322" s="52"/>
    </row>
    <row r="323" spans="2:7" x14ac:dyDescent="0.25">
      <c r="C323" s="52"/>
      <c r="G323" s="52"/>
    </row>
    <row r="324" spans="2:7" x14ac:dyDescent="0.25">
      <c r="C324"/>
      <c r="G324"/>
    </row>
    <row r="327" spans="2:7" x14ac:dyDescent="0.25">
      <c r="B327" s="87"/>
      <c r="C327"/>
      <c r="G327"/>
    </row>
    <row r="328" spans="2:7" x14ac:dyDescent="0.25">
      <c r="B328" s="87"/>
      <c r="C328"/>
      <c r="G328"/>
    </row>
    <row r="329" spans="2:7" x14ac:dyDescent="0.25">
      <c r="C329" s="52"/>
      <c r="G329" s="52"/>
    </row>
    <row r="330" spans="2:7" x14ac:dyDescent="0.25">
      <c r="C330" s="52"/>
      <c r="G330" s="52"/>
    </row>
    <row r="331" spans="2:7" x14ac:dyDescent="0.25">
      <c r="C331"/>
      <c r="G331"/>
    </row>
    <row r="332" spans="2:7" x14ac:dyDescent="0.25">
      <c r="C332"/>
      <c r="G332"/>
    </row>
    <row r="333" spans="2:7" x14ac:dyDescent="0.25">
      <c r="C333"/>
      <c r="G333"/>
    </row>
    <row r="334" spans="2:7" x14ac:dyDescent="0.25">
      <c r="C334"/>
      <c r="G334"/>
    </row>
    <row r="335" spans="2:7" x14ac:dyDescent="0.25">
      <c r="C335"/>
      <c r="G335"/>
    </row>
    <row r="336" spans="2:7" x14ac:dyDescent="0.25">
      <c r="B336" s="87"/>
      <c r="C336"/>
      <c r="G336"/>
    </row>
    <row r="337" spans="3:7" x14ac:dyDescent="0.25">
      <c r="C337"/>
      <c r="G337"/>
    </row>
    <row r="338" spans="3:7" x14ac:dyDescent="0.25">
      <c r="C338"/>
      <c r="G338"/>
    </row>
    <row r="339" spans="3:7" x14ac:dyDescent="0.25">
      <c r="C339"/>
      <c r="G339"/>
    </row>
    <row r="340" spans="3:7" x14ac:dyDescent="0.25">
      <c r="C340"/>
      <c r="G340"/>
    </row>
    <row r="341" spans="3:7" x14ac:dyDescent="0.25">
      <c r="C341"/>
      <c r="G341"/>
    </row>
    <row r="342" spans="3:7" x14ac:dyDescent="0.25">
      <c r="C342"/>
      <c r="G342"/>
    </row>
    <row r="343" spans="3:7" x14ac:dyDescent="0.25">
      <c r="C343"/>
      <c r="G343"/>
    </row>
    <row r="344" spans="3:7" x14ac:dyDescent="0.25">
      <c r="C344"/>
      <c r="G344"/>
    </row>
    <row r="345" spans="3:7" x14ac:dyDescent="0.25">
      <c r="C345"/>
      <c r="G345"/>
    </row>
    <row r="346" spans="3:7" x14ac:dyDescent="0.25">
      <c r="C346"/>
      <c r="G346"/>
    </row>
    <row r="347" spans="3:7" x14ac:dyDescent="0.25">
      <c r="C347"/>
      <c r="G347"/>
    </row>
    <row r="348" spans="3:7" x14ac:dyDescent="0.25">
      <c r="C348"/>
      <c r="G348"/>
    </row>
    <row r="349" spans="3:7" x14ac:dyDescent="0.25">
      <c r="C349"/>
      <c r="G349"/>
    </row>
    <row r="350" spans="3:7" x14ac:dyDescent="0.25">
      <c r="C350"/>
      <c r="G350"/>
    </row>
    <row r="351" spans="3:7" x14ac:dyDescent="0.25">
      <c r="C351"/>
      <c r="G351"/>
    </row>
    <row r="352" spans="3:7" x14ac:dyDescent="0.25">
      <c r="C352"/>
      <c r="G352"/>
    </row>
    <row r="353" spans="3:7" x14ac:dyDescent="0.25">
      <c r="C353"/>
      <c r="G353"/>
    </row>
    <row r="354" spans="3:7" x14ac:dyDescent="0.25">
      <c r="C354"/>
      <c r="G354"/>
    </row>
    <row r="355" spans="3:7" x14ac:dyDescent="0.25">
      <c r="C355"/>
      <c r="G355"/>
    </row>
    <row r="356" spans="3:7" x14ac:dyDescent="0.25">
      <c r="C356"/>
      <c r="G356"/>
    </row>
    <row r="357" spans="3:7" x14ac:dyDescent="0.25">
      <c r="C357"/>
      <c r="G357"/>
    </row>
    <row r="358" spans="3:7" x14ac:dyDescent="0.25">
      <c r="C358"/>
      <c r="G358"/>
    </row>
    <row r="359" spans="3:7" x14ac:dyDescent="0.25">
      <c r="C359"/>
      <c r="G359"/>
    </row>
    <row r="360" spans="3:7" x14ac:dyDescent="0.25">
      <c r="C360"/>
      <c r="G360"/>
    </row>
    <row r="361" spans="3:7" x14ac:dyDescent="0.25">
      <c r="C361"/>
      <c r="G361"/>
    </row>
    <row r="362" spans="3:7" x14ac:dyDescent="0.25">
      <c r="C362"/>
      <c r="G362"/>
    </row>
    <row r="363" spans="3:7" x14ac:dyDescent="0.25">
      <c r="C363"/>
      <c r="G363"/>
    </row>
    <row r="364" spans="3:7" x14ac:dyDescent="0.25">
      <c r="C364"/>
      <c r="G364"/>
    </row>
    <row r="365" spans="3:7" x14ac:dyDescent="0.25">
      <c r="C365"/>
      <c r="G365"/>
    </row>
    <row r="366" spans="3:7" x14ac:dyDescent="0.25">
      <c r="C366"/>
      <c r="G366"/>
    </row>
    <row r="367" spans="3:7" x14ac:dyDescent="0.25">
      <c r="C367"/>
      <c r="G367"/>
    </row>
    <row r="368" spans="3:7" x14ac:dyDescent="0.25">
      <c r="C368"/>
      <c r="G368"/>
    </row>
    <row r="369" spans="3:7" x14ac:dyDescent="0.25">
      <c r="C369"/>
      <c r="G369"/>
    </row>
    <row r="370" spans="3:7" x14ac:dyDescent="0.25">
      <c r="C370"/>
      <c r="G370"/>
    </row>
    <row r="371" spans="3:7" x14ac:dyDescent="0.25">
      <c r="C371"/>
      <c r="G371"/>
    </row>
    <row r="372" spans="3:7" x14ac:dyDescent="0.25">
      <c r="C372"/>
      <c r="G372"/>
    </row>
    <row r="373" spans="3:7" x14ac:dyDescent="0.25">
      <c r="C373"/>
      <c r="G373"/>
    </row>
    <row r="374" spans="3:7" x14ac:dyDescent="0.25">
      <c r="C374"/>
      <c r="G374"/>
    </row>
    <row r="375" spans="3:7" x14ac:dyDescent="0.25">
      <c r="C375"/>
      <c r="G375"/>
    </row>
    <row r="376" spans="3:7" x14ac:dyDescent="0.25">
      <c r="C376"/>
      <c r="G376"/>
    </row>
    <row r="377" spans="3:7" x14ac:dyDescent="0.25">
      <c r="C377"/>
      <c r="G377"/>
    </row>
    <row r="378" spans="3:7" x14ac:dyDescent="0.25">
      <c r="C378"/>
      <c r="G378"/>
    </row>
    <row r="379" spans="3:7" x14ac:dyDescent="0.25">
      <c r="C379"/>
      <c r="G379"/>
    </row>
    <row r="380" spans="3:7" x14ac:dyDescent="0.25">
      <c r="C380"/>
      <c r="G380"/>
    </row>
    <row r="381" spans="3:7" x14ac:dyDescent="0.25">
      <c r="C381"/>
      <c r="G381"/>
    </row>
    <row r="382" spans="3:7" x14ac:dyDescent="0.25">
      <c r="C382"/>
      <c r="G382"/>
    </row>
    <row r="383" spans="3:7" x14ac:dyDescent="0.25">
      <c r="C383"/>
      <c r="G383"/>
    </row>
    <row r="384" spans="3:7" x14ac:dyDescent="0.25">
      <c r="C384"/>
      <c r="G384"/>
    </row>
    <row r="385" spans="3:7" x14ac:dyDescent="0.25">
      <c r="C385"/>
      <c r="G385"/>
    </row>
    <row r="386" spans="3:7" x14ac:dyDescent="0.25">
      <c r="C386"/>
      <c r="G386"/>
    </row>
    <row r="387" spans="3:7" x14ac:dyDescent="0.25">
      <c r="C387"/>
      <c r="G387"/>
    </row>
    <row r="388" spans="3:7" x14ac:dyDescent="0.25">
      <c r="C388"/>
      <c r="G388"/>
    </row>
    <row r="389" spans="3:7" x14ac:dyDescent="0.25">
      <c r="C389"/>
      <c r="G389"/>
    </row>
    <row r="390" spans="3:7" x14ac:dyDescent="0.25">
      <c r="C390"/>
      <c r="G390"/>
    </row>
    <row r="391" spans="3:7" x14ac:dyDescent="0.25">
      <c r="C391"/>
      <c r="G391"/>
    </row>
    <row r="392" spans="3:7" x14ac:dyDescent="0.25">
      <c r="C392"/>
      <c r="G392"/>
    </row>
    <row r="393" spans="3:7" x14ac:dyDescent="0.25">
      <c r="C393"/>
      <c r="G393"/>
    </row>
    <row r="394" spans="3:7" x14ac:dyDescent="0.25">
      <c r="C394"/>
      <c r="G394"/>
    </row>
    <row r="395" spans="3:7" x14ac:dyDescent="0.25">
      <c r="C395"/>
      <c r="G395"/>
    </row>
    <row r="396" spans="3:7" x14ac:dyDescent="0.25">
      <c r="C396"/>
      <c r="G396"/>
    </row>
    <row r="397" spans="3:7" x14ac:dyDescent="0.25">
      <c r="C397"/>
      <c r="G397"/>
    </row>
    <row r="398" spans="3:7" x14ac:dyDescent="0.25">
      <c r="C398"/>
      <c r="G398"/>
    </row>
    <row r="399" spans="3:7" x14ac:dyDescent="0.25">
      <c r="C399"/>
      <c r="G399"/>
    </row>
    <row r="400" spans="3:7" x14ac:dyDescent="0.25">
      <c r="C400"/>
      <c r="G400"/>
    </row>
    <row r="401" spans="3:7" x14ac:dyDescent="0.25">
      <c r="C401"/>
      <c r="G401"/>
    </row>
    <row r="402" spans="3:7" x14ac:dyDescent="0.25">
      <c r="C402"/>
      <c r="G402"/>
    </row>
    <row r="403" spans="3:7" x14ac:dyDescent="0.25">
      <c r="C403"/>
      <c r="G403"/>
    </row>
    <row r="404" spans="3:7" x14ac:dyDescent="0.25">
      <c r="C404"/>
      <c r="G404"/>
    </row>
    <row r="405" spans="3:7" x14ac:dyDescent="0.25">
      <c r="C405"/>
      <c r="G405"/>
    </row>
    <row r="406" spans="3:7" x14ac:dyDescent="0.25">
      <c r="C406"/>
      <c r="G406"/>
    </row>
    <row r="407" spans="3:7" x14ac:dyDescent="0.25">
      <c r="C407"/>
      <c r="G407"/>
    </row>
    <row r="408" spans="3:7" x14ac:dyDescent="0.25">
      <c r="C408"/>
      <c r="G408"/>
    </row>
    <row r="409" spans="3:7" x14ac:dyDescent="0.25">
      <c r="C409"/>
      <c r="G409"/>
    </row>
    <row r="410" spans="3:7" x14ac:dyDescent="0.25">
      <c r="C410"/>
      <c r="G410"/>
    </row>
    <row r="411" spans="3:7" x14ac:dyDescent="0.25">
      <c r="C411"/>
      <c r="G411"/>
    </row>
    <row r="412" spans="3:7" x14ac:dyDescent="0.25">
      <c r="C412"/>
      <c r="G412"/>
    </row>
    <row r="413" spans="3:7" x14ac:dyDescent="0.25">
      <c r="C413"/>
      <c r="G413"/>
    </row>
    <row r="414" spans="3:7" x14ac:dyDescent="0.25">
      <c r="C414"/>
      <c r="G414"/>
    </row>
    <row r="415" spans="3:7" x14ac:dyDescent="0.25">
      <c r="C415"/>
      <c r="G415"/>
    </row>
    <row r="416" spans="3:7" x14ac:dyDescent="0.25">
      <c r="C416"/>
      <c r="G416"/>
    </row>
    <row r="417" spans="3:7" x14ac:dyDescent="0.25">
      <c r="C417"/>
      <c r="G417"/>
    </row>
    <row r="418" spans="3:7" x14ac:dyDescent="0.25">
      <c r="C418"/>
      <c r="G418"/>
    </row>
    <row r="419" spans="3:7" x14ac:dyDescent="0.25">
      <c r="C419"/>
      <c r="G419"/>
    </row>
    <row r="420" spans="3:7" x14ac:dyDescent="0.25">
      <c r="C420"/>
      <c r="G420"/>
    </row>
    <row r="421" spans="3:7" x14ac:dyDescent="0.25">
      <c r="C421"/>
      <c r="G421"/>
    </row>
    <row r="422" spans="3:7" x14ac:dyDescent="0.25">
      <c r="C422"/>
      <c r="G422"/>
    </row>
    <row r="423" spans="3:7" x14ac:dyDescent="0.25">
      <c r="C423"/>
      <c r="G423"/>
    </row>
    <row r="424" spans="3:7" x14ac:dyDescent="0.25">
      <c r="C424"/>
      <c r="G424"/>
    </row>
    <row r="425" spans="3:7" x14ac:dyDescent="0.25">
      <c r="C425"/>
      <c r="G425"/>
    </row>
    <row r="426" spans="3:7" x14ac:dyDescent="0.25">
      <c r="C426"/>
      <c r="G426"/>
    </row>
    <row r="427" spans="3:7" x14ac:dyDescent="0.25">
      <c r="C427"/>
      <c r="G427"/>
    </row>
    <row r="428" spans="3:7" x14ac:dyDescent="0.25">
      <c r="C428"/>
      <c r="G428"/>
    </row>
    <row r="429" spans="3:7" x14ac:dyDescent="0.25">
      <c r="C429"/>
      <c r="G429"/>
    </row>
    <row r="430" spans="3:7" x14ac:dyDescent="0.25">
      <c r="C430"/>
      <c r="G430"/>
    </row>
    <row r="431" spans="3:7" x14ac:dyDescent="0.25">
      <c r="C431"/>
      <c r="G431"/>
    </row>
    <row r="432" spans="3:7" x14ac:dyDescent="0.25">
      <c r="C432"/>
      <c r="G432"/>
    </row>
    <row r="433" spans="3:7" x14ac:dyDescent="0.25">
      <c r="C433"/>
      <c r="G433"/>
    </row>
    <row r="434" spans="3:7" x14ac:dyDescent="0.25">
      <c r="C434"/>
      <c r="G434"/>
    </row>
    <row r="435" spans="3:7" x14ac:dyDescent="0.25">
      <c r="C435"/>
      <c r="G435"/>
    </row>
    <row r="436" spans="3:7" x14ac:dyDescent="0.25">
      <c r="C436"/>
      <c r="G436"/>
    </row>
    <row r="437" spans="3:7" x14ac:dyDescent="0.25">
      <c r="C437"/>
      <c r="G437"/>
    </row>
    <row r="438" spans="3:7" x14ac:dyDescent="0.25">
      <c r="C438"/>
      <c r="G438"/>
    </row>
    <row r="439" spans="3:7" x14ac:dyDescent="0.25">
      <c r="C439"/>
      <c r="G439"/>
    </row>
    <row r="440" spans="3:7" x14ac:dyDescent="0.25">
      <c r="C440"/>
      <c r="G440"/>
    </row>
    <row r="441" spans="3:7" x14ac:dyDescent="0.25">
      <c r="C441"/>
      <c r="G441"/>
    </row>
    <row r="442" spans="3:7" x14ac:dyDescent="0.25">
      <c r="C442"/>
      <c r="G442"/>
    </row>
    <row r="443" spans="3:7" x14ac:dyDescent="0.25">
      <c r="C443"/>
      <c r="G443"/>
    </row>
    <row r="444" spans="3:7" x14ac:dyDescent="0.25">
      <c r="C444"/>
      <c r="G444"/>
    </row>
    <row r="445" spans="3:7" x14ac:dyDescent="0.25">
      <c r="C445"/>
      <c r="G445"/>
    </row>
    <row r="446" spans="3:7" x14ac:dyDescent="0.25">
      <c r="C446"/>
      <c r="G446"/>
    </row>
    <row r="447" spans="3:7" x14ac:dyDescent="0.25">
      <c r="C447"/>
      <c r="G447"/>
    </row>
    <row r="448" spans="3:7" x14ac:dyDescent="0.25">
      <c r="C448"/>
      <c r="G448"/>
    </row>
    <row r="449" spans="3:7" x14ac:dyDescent="0.25">
      <c r="C449"/>
      <c r="G449"/>
    </row>
    <row r="450" spans="3:7" x14ac:dyDescent="0.25">
      <c r="C450"/>
      <c r="G450"/>
    </row>
    <row r="451" spans="3:7" x14ac:dyDescent="0.25">
      <c r="C451"/>
      <c r="G451"/>
    </row>
    <row r="452" spans="3:7" x14ac:dyDescent="0.25">
      <c r="C452"/>
      <c r="G452"/>
    </row>
    <row r="453" spans="3:7" x14ac:dyDescent="0.25">
      <c r="C453"/>
      <c r="G453"/>
    </row>
    <row r="454" spans="3:7" x14ac:dyDescent="0.25">
      <c r="C454"/>
      <c r="G454"/>
    </row>
    <row r="455" spans="3:7" x14ac:dyDescent="0.25">
      <c r="C455"/>
      <c r="G455"/>
    </row>
    <row r="456" spans="3:7" x14ac:dyDescent="0.25">
      <c r="C456"/>
      <c r="G456"/>
    </row>
    <row r="457" spans="3:7" x14ac:dyDescent="0.25">
      <c r="C457"/>
      <c r="G457"/>
    </row>
    <row r="458" spans="3:7" x14ac:dyDescent="0.25">
      <c r="C458"/>
      <c r="G458"/>
    </row>
    <row r="459" spans="3:7" x14ac:dyDescent="0.25">
      <c r="C459"/>
      <c r="G459"/>
    </row>
    <row r="460" spans="3:7" x14ac:dyDescent="0.25">
      <c r="C460"/>
      <c r="G460"/>
    </row>
    <row r="461" spans="3:7" x14ac:dyDescent="0.25">
      <c r="C461"/>
      <c r="G461"/>
    </row>
    <row r="462" spans="3:7" x14ac:dyDescent="0.25">
      <c r="C462"/>
      <c r="G462"/>
    </row>
    <row r="463" spans="3:7" x14ac:dyDescent="0.25">
      <c r="C463"/>
      <c r="G463"/>
    </row>
    <row r="464" spans="3:7" x14ac:dyDescent="0.25">
      <c r="C464"/>
      <c r="G464"/>
    </row>
    <row r="465" spans="3:7" x14ac:dyDescent="0.25">
      <c r="C465"/>
      <c r="G465"/>
    </row>
    <row r="466" spans="3:7" x14ac:dyDescent="0.25">
      <c r="C466"/>
      <c r="G466"/>
    </row>
    <row r="467" spans="3:7" x14ac:dyDescent="0.25">
      <c r="C467"/>
      <c r="G467"/>
    </row>
    <row r="468" spans="3:7" x14ac:dyDescent="0.25">
      <c r="C468"/>
      <c r="G468"/>
    </row>
    <row r="469" spans="3:7" x14ac:dyDescent="0.25">
      <c r="C469"/>
      <c r="G469"/>
    </row>
    <row r="470" spans="3:7" x14ac:dyDescent="0.25">
      <c r="C470"/>
      <c r="G470"/>
    </row>
    <row r="471" spans="3:7" x14ac:dyDescent="0.25">
      <c r="C471"/>
      <c r="G471"/>
    </row>
    <row r="472" spans="3:7" x14ac:dyDescent="0.25">
      <c r="C472"/>
      <c r="G472"/>
    </row>
    <row r="473" spans="3:7" x14ac:dyDescent="0.25">
      <c r="C473"/>
      <c r="G473"/>
    </row>
    <row r="474" spans="3:7" x14ac:dyDescent="0.25">
      <c r="C474"/>
      <c r="G474"/>
    </row>
    <row r="475" spans="3:7" x14ac:dyDescent="0.25">
      <c r="C475"/>
      <c r="G475"/>
    </row>
    <row r="476" spans="3:7" x14ac:dyDescent="0.25">
      <c r="C476"/>
      <c r="G476"/>
    </row>
    <row r="477" spans="3:7" x14ac:dyDescent="0.25">
      <c r="C477"/>
      <c r="G477"/>
    </row>
    <row r="478" spans="3:7" x14ac:dyDescent="0.25">
      <c r="C478"/>
      <c r="G478"/>
    </row>
    <row r="479" spans="3:7" x14ac:dyDescent="0.25">
      <c r="C479"/>
      <c r="G479"/>
    </row>
    <row r="480" spans="3:7" x14ac:dyDescent="0.25">
      <c r="C480"/>
      <c r="G480"/>
    </row>
    <row r="481" spans="3:7" x14ac:dyDescent="0.25">
      <c r="C481"/>
      <c r="G481"/>
    </row>
    <row r="482" spans="3:7" x14ac:dyDescent="0.25">
      <c r="C482"/>
      <c r="G482"/>
    </row>
    <row r="483" spans="3:7" x14ac:dyDescent="0.25">
      <c r="C483"/>
      <c r="G483"/>
    </row>
    <row r="484" spans="3:7" x14ac:dyDescent="0.25">
      <c r="C484"/>
      <c r="G484"/>
    </row>
    <row r="485" spans="3:7" x14ac:dyDescent="0.25">
      <c r="C485"/>
      <c r="G485"/>
    </row>
    <row r="486" spans="3:7" x14ac:dyDescent="0.25">
      <c r="C486"/>
      <c r="G486"/>
    </row>
    <row r="487" spans="3:7" x14ac:dyDescent="0.25">
      <c r="C487"/>
      <c r="G487"/>
    </row>
    <row r="488" spans="3:7" x14ac:dyDescent="0.25">
      <c r="C488"/>
      <c r="G488"/>
    </row>
    <row r="489" spans="3:7" x14ac:dyDescent="0.25">
      <c r="C489"/>
      <c r="G489"/>
    </row>
    <row r="490" spans="3:7" x14ac:dyDescent="0.25">
      <c r="C490"/>
      <c r="G490"/>
    </row>
    <row r="491" spans="3:7" x14ac:dyDescent="0.25">
      <c r="C491"/>
      <c r="G491"/>
    </row>
    <row r="492" spans="3:7" x14ac:dyDescent="0.25">
      <c r="C492"/>
      <c r="G492"/>
    </row>
    <row r="493" spans="3:7" x14ac:dyDescent="0.25">
      <c r="C493"/>
      <c r="G493"/>
    </row>
    <row r="494" spans="3:7" x14ac:dyDescent="0.25">
      <c r="C494"/>
      <c r="G494"/>
    </row>
    <row r="495" spans="3:7" x14ac:dyDescent="0.25">
      <c r="C495"/>
      <c r="G495"/>
    </row>
    <row r="496" spans="3:7" x14ac:dyDescent="0.25">
      <c r="C496"/>
      <c r="G496"/>
    </row>
    <row r="497" spans="3:7" x14ac:dyDescent="0.25">
      <c r="C497"/>
      <c r="G497"/>
    </row>
    <row r="498" spans="3:7" x14ac:dyDescent="0.25">
      <c r="C498"/>
      <c r="G498"/>
    </row>
    <row r="499" spans="3:7" x14ac:dyDescent="0.25">
      <c r="C499"/>
      <c r="G499"/>
    </row>
    <row r="500" spans="3:7" x14ac:dyDescent="0.25">
      <c r="C500"/>
      <c r="G500"/>
    </row>
    <row r="501" spans="3:7" x14ac:dyDescent="0.25">
      <c r="C501"/>
      <c r="G501"/>
    </row>
    <row r="502" spans="3:7" x14ac:dyDescent="0.25">
      <c r="C502"/>
      <c r="G502"/>
    </row>
    <row r="503" spans="3:7" x14ac:dyDescent="0.25">
      <c r="C503"/>
      <c r="G503"/>
    </row>
    <row r="504" spans="3:7" x14ac:dyDescent="0.25">
      <c r="C504"/>
      <c r="G504"/>
    </row>
    <row r="505" spans="3:7" x14ac:dyDescent="0.25">
      <c r="C505"/>
      <c r="G505"/>
    </row>
    <row r="506" spans="3:7" x14ac:dyDescent="0.25">
      <c r="C506"/>
      <c r="G506"/>
    </row>
    <row r="507" spans="3:7" x14ac:dyDescent="0.25">
      <c r="C507"/>
      <c r="G507"/>
    </row>
    <row r="508" spans="3:7" x14ac:dyDescent="0.25">
      <c r="C508"/>
      <c r="G508"/>
    </row>
    <row r="509" spans="3:7" x14ac:dyDescent="0.25">
      <c r="C509"/>
      <c r="G509"/>
    </row>
    <row r="510" spans="3:7" x14ac:dyDescent="0.25">
      <c r="C510"/>
      <c r="G510"/>
    </row>
    <row r="511" spans="3:7" x14ac:dyDescent="0.25">
      <c r="C511"/>
      <c r="G511"/>
    </row>
    <row r="512" spans="3:7" x14ac:dyDescent="0.25">
      <c r="C512"/>
      <c r="G512"/>
    </row>
    <row r="513" spans="3:7" x14ac:dyDescent="0.25">
      <c r="C513"/>
      <c r="G513"/>
    </row>
    <row r="514" spans="3:7" x14ac:dyDescent="0.25">
      <c r="C514"/>
      <c r="G514"/>
    </row>
    <row r="515" spans="3:7" x14ac:dyDescent="0.25">
      <c r="C515"/>
      <c r="G515"/>
    </row>
    <row r="516" spans="3:7" x14ac:dyDescent="0.25">
      <c r="C516"/>
      <c r="G516"/>
    </row>
    <row r="517" spans="3:7" x14ac:dyDescent="0.25">
      <c r="C517"/>
      <c r="G517"/>
    </row>
    <row r="518" spans="3:7" x14ac:dyDescent="0.25">
      <c r="C518"/>
      <c r="G518"/>
    </row>
  </sheetData>
  <mergeCells count="6">
    <mergeCell ref="A6:B6"/>
    <mergeCell ref="A1:U1"/>
    <mergeCell ref="A2:U2"/>
    <mergeCell ref="A3:U3"/>
    <mergeCell ref="A4:U4"/>
    <mergeCell ref="A5:U5"/>
  </mergeCells>
  <pageMargins left="0.70866141732283472" right="0.70866141732283472" top="0.74803149606299213" bottom="0.74803149606299213" header="0.31496062992125984" footer="0.31496062992125984"/>
  <pageSetup paperSize="9" scale="6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MATRIZ</vt:lpstr>
      <vt:lpstr>EJECUCION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 M. Ruiz C.</dc:creator>
  <cp:lastModifiedBy>Jeovanny Perez Corcino</cp:lastModifiedBy>
  <cp:lastPrinted>2025-11-20T15:32:18Z</cp:lastPrinted>
  <dcterms:created xsi:type="dcterms:W3CDTF">2025-11-19T14:25:59Z</dcterms:created>
  <dcterms:modified xsi:type="dcterms:W3CDTF">2025-11-20T15:56:31Z</dcterms:modified>
</cp:coreProperties>
</file>