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-FILES\Archivos de Presupuesto\Carpeta compartida Presupuesto\TRANSPARENCIA\2026\"/>
    </mc:Choice>
  </mc:AlternateContent>
  <xr:revisionPtr revIDLastSave="0" documentId="13_ncr:1_{67419A5C-8017-4F74-8A5B-14D55AEA18B9}" xr6:coauthVersionLast="47" xr6:coauthVersionMax="47" xr10:uidLastSave="{00000000-0000-0000-0000-000000000000}"/>
  <bookViews>
    <workbookView xWindow="-120" yWindow="-120" windowWidth="29040" windowHeight="15720" xr2:uid="{3A28F582-2C22-4119-B0CC-B66016843419}"/>
  </bookViews>
  <sheets>
    <sheet name="MATRIZ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9" i="1" l="1"/>
  <c r="V107" i="1"/>
  <c r="V106" i="1" s="1"/>
  <c r="K106" i="1"/>
  <c r="J106" i="1"/>
  <c r="I106" i="1"/>
  <c r="H106" i="1"/>
  <c r="V98" i="1"/>
  <c r="V104" i="1"/>
  <c r="L105" i="1"/>
  <c r="L108" i="1"/>
  <c r="L21" i="1"/>
  <c r="K105" i="1" l="1"/>
  <c r="J105" i="1"/>
  <c r="I105" i="1"/>
  <c r="H105" i="1"/>
  <c r="H100" i="1" s="1"/>
  <c r="H94" i="1" s="1"/>
  <c r="H95" i="1"/>
  <c r="G105" i="1"/>
  <c r="G106" i="1"/>
  <c r="E105" i="1"/>
  <c r="G100" i="1"/>
  <c r="G94" i="1" s="1"/>
  <c r="F105" i="1"/>
  <c r="F106" i="1"/>
  <c r="E106" i="1"/>
  <c r="L106" i="1"/>
  <c r="F16" i="1" l="1"/>
  <c r="V91" i="1" l="1"/>
  <c r="V88" i="1"/>
  <c r="V74" i="1"/>
  <c r="V73" i="1"/>
  <c r="V72" i="1"/>
  <c r="D96" i="1"/>
  <c r="D91" i="1"/>
  <c r="D66" i="1"/>
  <c r="D63" i="1"/>
  <c r="D62" i="1"/>
  <c r="D61" i="1"/>
  <c r="D60" i="1"/>
  <c r="D59" i="1"/>
  <c r="D58" i="1"/>
  <c r="D42" i="1"/>
  <c r="D38" i="1"/>
  <c r="D29" i="1"/>
  <c r="D22" i="1"/>
  <c r="D19" i="1"/>
  <c r="D16" i="1"/>
  <c r="V101" i="1"/>
  <c r="L16" i="1" l="1"/>
  <c r="L20" i="1"/>
  <c r="K112" i="1"/>
  <c r="K110" i="1"/>
  <c r="K100" i="1"/>
  <c r="K95" i="1"/>
  <c r="K92" i="1"/>
  <c r="K89" i="1"/>
  <c r="K88" i="1"/>
  <c r="K79" i="1"/>
  <c r="K75" i="1"/>
  <c r="K72" i="1"/>
  <c r="K67" i="1"/>
  <c r="K63" i="1"/>
  <c r="K60" i="1"/>
  <c r="K57" i="1"/>
  <c r="K41" i="1"/>
  <c r="K32" i="1"/>
  <c r="K31" i="1"/>
  <c r="K21" i="1"/>
  <c r="K20" i="1"/>
  <c r="K16" i="1"/>
  <c r="K15" i="1"/>
  <c r="K14" i="1"/>
  <c r="C15" i="1"/>
  <c r="C57" i="1"/>
  <c r="C89" i="1"/>
  <c r="C88" i="1" s="1"/>
  <c r="C67" i="1"/>
  <c r="C50" i="1"/>
  <c r="C41" i="1"/>
  <c r="C31" i="1"/>
  <c r="C21" i="1"/>
  <c r="C14" i="1" s="1"/>
  <c r="C13" i="1" s="1"/>
  <c r="J41" i="1"/>
  <c r="J110" i="1"/>
  <c r="L63" i="1"/>
  <c r="L60" i="1"/>
  <c r="J112" i="1"/>
  <c r="J100" i="1"/>
  <c r="J95" i="1"/>
  <c r="J92" i="1"/>
  <c r="J89" i="1"/>
  <c r="J88" i="1"/>
  <c r="J79" i="1"/>
  <c r="J75" i="1"/>
  <c r="J72" i="1"/>
  <c r="J67" i="1"/>
  <c r="J57" i="1"/>
  <c r="J31" i="1"/>
  <c r="J21" i="1"/>
  <c r="J20" i="1"/>
  <c r="J16" i="1"/>
  <c r="J15" i="1"/>
  <c r="J14" i="1"/>
  <c r="I112" i="1"/>
  <c r="I110" i="1"/>
  <c r="I100" i="1"/>
  <c r="I95" i="1"/>
  <c r="I92" i="1"/>
  <c r="I89" i="1"/>
  <c r="I88" i="1" s="1"/>
  <c r="I79" i="1"/>
  <c r="I75" i="1"/>
  <c r="I72" i="1"/>
  <c r="I67" i="1"/>
  <c r="I57" i="1"/>
  <c r="I41" i="1"/>
  <c r="I31" i="1"/>
  <c r="I21" i="1"/>
  <c r="I16" i="1"/>
  <c r="I15" i="1"/>
  <c r="I14" i="1" s="1"/>
  <c r="H112" i="1"/>
  <c r="H110" i="1"/>
  <c r="H92" i="1"/>
  <c r="H89" i="1"/>
  <c r="H79" i="1"/>
  <c r="H75" i="1"/>
  <c r="H72" i="1"/>
  <c r="H67" i="1"/>
  <c r="H57" i="1"/>
  <c r="H41" i="1"/>
  <c r="H31" i="1"/>
  <c r="H21" i="1"/>
  <c r="H15" i="1"/>
  <c r="H14" i="1" s="1"/>
  <c r="G112" i="1"/>
  <c r="G110" i="1"/>
  <c r="G95" i="1"/>
  <c r="G92" i="1"/>
  <c r="G89" i="1"/>
  <c r="G88" i="1"/>
  <c r="G79" i="1"/>
  <c r="G75" i="1"/>
  <c r="G72" i="1"/>
  <c r="G67" i="1"/>
  <c r="G57" i="1"/>
  <c r="G41" i="1"/>
  <c r="G31" i="1"/>
  <c r="G21" i="1"/>
  <c r="G16" i="1"/>
  <c r="G15" i="1" s="1"/>
  <c r="K94" i="1" l="1"/>
  <c r="J94" i="1"/>
  <c r="K13" i="1"/>
  <c r="I13" i="1"/>
  <c r="V31" i="1"/>
  <c r="H13" i="1"/>
  <c r="J13" i="1"/>
  <c r="G14" i="1"/>
  <c r="G13" i="1" s="1"/>
  <c r="I94" i="1"/>
  <c r="H88" i="1"/>
  <c r="L57" i="1"/>
  <c r="L41" i="1"/>
  <c r="L31" i="1"/>
  <c r="F41" i="1"/>
  <c r="F31" i="1"/>
  <c r="F20" i="1"/>
  <c r="F28" i="1"/>
  <c r="F23" i="1"/>
  <c r="F21" i="1" s="1"/>
  <c r="E21" i="1"/>
  <c r="E15" i="1"/>
  <c r="F113" i="1"/>
  <c r="F112" i="1" s="1"/>
  <c r="F110" i="1"/>
  <c r="F109" i="1"/>
  <c r="F104" i="1"/>
  <c r="C106" i="1"/>
  <c r="C110" i="1"/>
  <c r="C100" i="1"/>
  <c r="C95" i="1"/>
  <c r="C112" i="1"/>
  <c r="E16" i="1"/>
  <c r="E93" i="1"/>
  <c r="D40" i="1"/>
  <c r="D104" i="1"/>
  <c r="D103" i="1"/>
  <c r="D105" i="1"/>
  <c r="D99" i="1"/>
  <c r="D109" i="1"/>
  <c r="D98" i="1"/>
  <c r="D97" i="1"/>
  <c r="D102" i="1"/>
  <c r="D101" i="1"/>
  <c r="D107" i="1"/>
  <c r="D108" i="1"/>
  <c r="D113" i="1"/>
  <c r="D111" i="1"/>
  <c r="D90" i="1"/>
  <c r="D30" i="1"/>
  <c r="D28" i="1"/>
  <c r="D27" i="1"/>
  <c r="D26" i="1"/>
  <c r="D25" i="1"/>
  <c r="D24" i="1"/>
  <c r="D23" i="1"/>
  <c r="D20" i="1"/>
  <c r="D18" i="1"/>
  <c r="D17" i="1"/>
  <c r="D39" i="1"/>
  <c r="D37" i="1"/>
  <c r="D36" i="1"/>
  <c r="D35" i="1"/>
  <c r="D34" i="1"/>
  <c r="D33" i="1"/>
  <c r="D32" i="1"/>
  <c r="D49" i="1"/>
  <c r="D48" i="1"/>
  <c r="D47" i="1"/>
  <c r="D46" i="1"/>
  <c r="D45" i="1"/>
  <c r="D44" i="1"/>
  <c r="D43" i="1"/>
  <c r="D65" i="1"/>
  <c r="D64" i="1"/>
  <c r="D71" i="1"/>
  <c r="D70" i="1"/>
  <c r="D69" i="1"/>
  <c r="D68" i="1"/>
  <c r="D78" i="1"/>
  <c r="D77" i="1"/>
  <c r="D76" i="1"/>
  <c r="D87" i="1"/>
  <c r="D86" i="1"/>
  <c r="D85" i="1"/>
  <c r="D84" i="1"/>
  <c r="D83" i="1"/>
  <c r="D82" i="1"/>
  <c r="D81" i="1"/>
  <c r="D80" i="1"/>
  <c r="D93" i="1"/>
  <c r="B15" i="1"/>
  <c r="B95" i="1"/>
  <c r="H116" i="1" l="1"/>
  <c r="K116" i="1"/>
  <c r="J116" i="1"/>
  <c r="L13" i="1"/>
  <c r="I116" i="1"/>
  <c r="C94" i="1"/>
  <c r="G116" i="1"/>
  <c r="F100" i="1"/>
  <c r="D106" i="1"/>
  <c r="D100" i="1"/>
  <c r="D95" i="1"/>
  <c r="D31" i="1"/>
  <c r="V113" i="1"/>
  <c r="U112" i="1"/>
  <c r="T112" i="1"/>
  <c r="S112" i="1"/>
  <c r="R112" i="1"/>
  <c r="Q112" i="1"/>
  <c r="P112" i="1"/>
  <c r="O112" i="1"/>
  <c r="N112" i="1"/>
  <c r="M112" i="1"/>
  <c r="L112" i="1"/>
  <c r="E112" i="1"/>
  <c r="V112" i="1" s="1"/>
  <c r="D112" i="1"/>
  <c r="B112" i="1"/>
  <c r="V111" i="1"/>
  <c r="U110" i="1"/>
  <c r="T110" i="1"/>
  <c r="S110" i="1"/>
  <c r="R110" i="1"/>
  <c r="Q110" i="1"/>
  <c r="P110" i="1"/>
  <c r="O110" i="1"/>
  <c r="N110" i="1"/>
  <c r="M110" i="1"/>
  <c r="L110" i="1"/>
  <c r="E110" i="1"/>
  <c r="D110" i="1"/>
  <c r="B110" i="1"/>
  <c r="V108" i="1"/>
  <c r="U106" i="1"/>
  <c r="T106" i="1"/>
  <c r="S106" i="1"/>
  <c r="R106" i="1"/>
  <c r="Q106" i="1"/>
  <c r="P106" i="1"/>
  <c r="O106" i="1"/>
  <c r="N106" i="1"/>
  <c r="M106" i="1"/>
  <c r="B106" i="1"/>
  <c r="V105" i="1"/>
  <c r="V103" i="1"/>
  <c r="V102" i="1"/>
  <c r="U100" i="1"/>
  <c r="T100" i="1"/>
  <c r="S100" i="1"/>
  <c r="R100" i="1"/>
  <c r="Q100" i="1"/>
  <c r="P100" i="1"/>
  <c r="O100" i="1"/>
  <c r="N100" i="1"/>
  <c r="M100" i="1"/>
  <c r="L100" i="1"/>
  <c r="E100" i="1"/>
  <c r="B100" i="1"/>
  <c r="V99" i="1"/>
  <c r="V96" i="1"/>
  <c r="U95" i="1"/>
  <c r="T95" i="1"/>
  <c r="S95" i="1"/>
  <c r="R95" i="1"/>
  <c r="Q95" i="1"/>
  <c r="P95" i="1"/>
  <c r="O95" i="1"/>
  <c r="N95" i="1"/>
  <c r="M95" i="1"/>
  <c r="L95" i="1"/>
  <c r="E95" i="1"/>
  <c r="V93" i="1"/>
  <c r="U92" i="1"/>
  <c r="T92" i="1"/>
  <c r="S92" i="1"/>
  <c r="R92" i="1"/>
  <c r="Q92" i="1"/>
  <c r="P92" i="1"/>
  <c r="O92" i="1"/>
  <c r="N92" i="1"/>
  <c r="M92" i="1"/>
  <c r="L92" i="1"/>
  <c r="L88" i="1" s="1"/>
  <c r="F92" i="1"/>
  <c r="E92" i="1"/>
  <c r="B92" i="1"/>
  <c r="D92" i="1" s="1"/>
  <c r="N89" i="1"/>
  <c r="D89" i="1"/>
  <c r="U89" i="1"/>
  <c r="T89" i="1"/>
  <c r="S89" i="1"/>
  <c r="R89" i="1"/>
  <c r="Q89" i="1"/>
  <c r="P89" i="1"/>
  <c r="O89" i="1"/>
  <c r="M89" i="1"/>
  <c r="L89" i="1"/>
  <c r="F89" i="1"/>
  <c r="E89" i="1"/>
  <c r="E14" i="1" s="1"/>
  <c r="B89" i="1"/>
  <c r="U79" i="1"/>
  <c r="S79" i="1"/>
  <c r="R79" i="1"/>
  <c r="Q79" i="1"/>
  <c r="P79" i="1"/>
  <c r="O79" i="1"/>
  <c r="N79" i="1"/>
  <c r="M79" i="1"/>
  <c r="L79" i="1"/>
  <c r="F79" i="1"/>
  <c r="E79" i="1"/>
  <c r="D79" i="1"/>
  <c r="B79" i="1"/>
  <c r="U75" i="1"/>
  <c r="S75" i="1"/>
  <c r="R75" i="1"/>
  <c r="Q75" i="1"/>
  <c r="P75" i="1"/>
  <c r="O75" i="1"/>
  <c r="N75" i="1"/>
  <c r="M75" i="1"/>
  <c r="L75" i="1"/>
  <c r="F75" i="1"/>
  <c r="E75" i="1"/>
  <c r="D75" i="1"/>
  <c r="B75" i="1"/>
  <c r="U72" i="1"/>
  <c r="S72" i="1"/>
  <c r="R72" i="1"/>
  <c r="Q72" i="1"/>
  <c r="P72" i="1"/>
  <c r="O72" i="1"/>
  <c r="N72" i="1"/>
  <c r="M72" i="1"/>
  <c r="L72" i="1"/>
  <c r="F72" i="1"/>
  <c r="E72" i="1"/>
  <c r="D72" i="1"/>
  <c r="B72" i="1"/>
  <c r="D67" i="1"/>
  <c r="U67" i="1"/>
  <c r="S67" i="1"/>
  <c r="R67" i="1"/>
  <c r="Q67" i="1"/>
  <c r="P67" i="1"/>
  <c r="O67" i="1"/>
  <c r="N67" i="1"/>
  <c r="M67" i="1"/>
  <c r="L67" i="1"/>
  <c r="F67" i="1"/>
  <c r="E67" i="1"/>
  <c r="B67" i="1"/>
  <c r="V62" i="1"/>
  <c r="V59" i="1"/>
  <c r="V58" i="1"/>
  <c r="U57" i="1"/>
  <c r="T57" i="1"/>
  <c r="S57" i="1"/>
  <c r="R57" i="1"/>
  <c r="Q57" i="1"/>
  <c r="P57" i="1"/>
  <c r="O57" i="1"/>
  <c r="N57" i="1"/>
  <c r="M57" i="1"/>
  <c r="F57" i="1"/>
  <c r="E57" i="1"/>
  <c r="V57" i="1" s="1"/>
  <c r="B57" i="1"/>
  <c r="D56" i="1"/>
  <c r="D55" i="1"/>
  <c r="D54" i="1"/>
  <c r="D53" i="1"/>
  <c r="D52" i="1"/>
  <c r="D51" i="1"/>
  <c r="V50" i="1"/>
  <c r="B50" i="1"/>
  <c r="D50" i="1" s="1"/>
  <c r="V48" i="1"/>
  <c r="V42" i="1"/>
  <c r="U41" i="1"/>
  <c r="T41" i="1"/>
  <c r="S41" i="1"/>
  <c r="R41" i="1"/>
  <c r="Q41" i="1"/>
  <c r="P41" i="1"/>
  <c r="O41" i="1"/>
  <c r="N41" i="1"/>
  <c r="M41" i="1"/>
  <c r="E41" i="1"/>
  <c r="V41" i="1" s="1"/>
  <c r="V40" i="1"/>
  <c r="V39" i="1"/>
  <c r="V38" i="1"/>
  <c r="V37" i="1"/>
  <c r="V36" i="1"/>
  <c r="V35" i="1"/>
  <c r="V34" i="1"/>
  <c r="V33" i="1"/>
  <c r="V32" i="1"/>
  <c r="U31" i="1"/>
  <c r="T31" i="1"/>
  <c r="S31" i="1"/>
  <c r="R31" i="1"/>
  <c r="Q31" i="1"/>
  <c r="P31" i="1"/>
  <c r="O31" i="1"/>
  <c r="N31" i="1"/>
  <c r="M31" i="1"/>
  <c r="E31" i="1"/>
  <c r="B31" i="1"/>
  <c r="V30" i="1"/>
  <c r="V29" i="1"/>
  <c r="V28" i="1"/>
  <c r="V27" i="1"/>
  <c r="V26" i="1"/>
  <c r="V25" i="1"/>
  <c r="V22" i="1"/>
  <c r="U21" i="1"/>
  <c r="T21" i="1"/>
  <c r="S21" i="1"/>
  <c r="R21" i="1"/>
  <c r="Q21" i="1"/>
  <c r="P21" i="1"/>
  <c r="O21" i="1"/>
  <c r="N21" i="1"/>
  <c r="M21" i="1"/>
  <c r="V21" i="1" s="1"/>
  <c r="D21" i="1"/>
  <c r="B21" i="1"/>
  <c r="V20" i="1"/>
  <c r="V19" i="1"/>
  <c r="V18" i="1"/>
  <c r="V17" i="1"/>
  <c r="U15" i="1"/>
  <c r="T15" i="1"/>
  <c r="S15" i="1"/>
  <c r="R15" i="1"/>
  <c r="Q15" i="1"/>
  <c r="P15" i="1"/>
  <c r="O15" i="1"/>
  <c r="N15" i="1"/>
  <c r="M15" i="1"/>
  <c r="F15" i="1"/>
  <c r="V15" i="1" s="1"/>
  <c r="D15" i="1"/>
  <c r="Q14" i="1" l="1"/>
  <c r="Q13" i="1" s="1"/>
  <c r="R14" i="1"/>
  <c r="R13" i="1" s="1"/>
  <c r="O14" i="1"/>
  <c r="S94" i="1"/>
  <c r="B14" i="1"/>
  <c r="M88" i="1"/>
  <c r="O88" i="1"/>
  <c r="P88" i="1"/>
  <c r="D94" i="1"/>
  <c r="B13" i="1"/>
  <c r="T94" i="1"/>
  <c r="T116" i="1" s="1"/>
  <c r="U94" i="1"/>
  <c r="S14" i="1"/>
  <c r="S13" i="1" s="1"/>
  <c r="U14" i="1"/>
  <c r="T14" i="1"/>
  <c r="T13" i="1" s="1"/>
  <c r="P14" i="1"/>
  <c r="F88" i="1"/>
  <c r="E94" i="1"/>
  <c r="E13" i="1"/>
  <c r="E88" i="1"/>
  <c r="N14" i="1"/>
  <c r="N13" i="1" s="1"/>
  <c r="B88" i="1"/>
  <c r="V75" i="1"/>
  <c r="V79" i="1"/>
  <c r="V67" i="1"/>
  <c r="M14" i="1"/>
  <c r="M13" i="1" s="1"/>
  <c r="Q94" i="1"/>
  <c r="Q116" i="1" s="1"/>
  <c r="R94" i="1"/>
  <c r="R116" i="1" s="1"/>
  <c r="D57" i="1"/>
  <c r="D14" i="1" s="1"/>
  <c r="D13" i="1" s="1"/>
  <c r="B94" i="1"/>
  <c r="V110" i="1"/>
  <c r="P94" i="1"/>
  <c r="P116" i="1" s="1"/>
  <c r="V100" i="1"/>
  <c r="N94" i="1"/>
  <c r="O94" i="1"/>
  <c r="O116" i="1" s="1"/>
  <c r="L94" i="1"/>
  <c r="V92" i="1"/>
  <c r="Q88" i="1"/>
  <c r="R88" i="1"/>
  <c r="S88" i="1"/>
  <c r="T88" i="1"/>
  <c r="U88" i="1"/>
  <c r="O13" i="1"/>
  <c r="P13" i="1"/>
  <c r="U13" i="1"/>
  <c r="U116" i="1"/>
  <c r="D88" i="1"/>
  <c r="N88" i="1"/>
  <c r="V89" i="1"/>
  <c r="S116" i="1"/>
  <c r="V90" i="1"/>
  <c r="F14" i="1"/>
  <c r="M94" i="1"/>
  <c r="M116" i="1" s="1"/>
  <c r="F13" i="1" l="1"/>
  <c r="V13" i="1" s="1"/>
  <c r="V14" i="1"/>
  <c r="L15" i="1"/>
  <c r="V16" i="1"/>
  <c r="E116" i="1"/>
  <c r="F95" i="1"/>
  <c r="F94" i="1" s="1"/>
  <c r="B41" i="1"/>
  <c r="B116" i="1" s="1"/>
  <c r="D41" i="1"/>
  <c r="D116" i="1" s="1"/>
  <c r="N116" i="1"/>
  <c r="V94" i="1" l="1"/>
  <c r="L14" i="1"/>
  <c r="V97" i="1"/>
  <c r="L116" i="1" l="1"/>
  <c r="V95" i="1"/>
  <c r="F116" i="1" l="1"/>
  <c r="V23" i="1" l="1"/>
</calcChain>
</file>

<file path=xl/sharedStrings.xml><?xml version="1.0" encoding="utf-8"?>
<sst xmlns="http://schemas.openxmlformats.org/spreadsheetml/2006/main" count="143" uniqueCount="121">
  <si>
    <t>CAMARA DE DIÚTADOS DE LA REPUBLICA DOMINICANA</t>
  </si>
  <si>
    <t xml:space="preserve">Ejecución de Gasto y Aplicaciones Financieras </t>
  </si>
  <si>
    <t>En RD$</t>
  </si>
  <si>
    <t>DETALLE</t>
  </si>
  <si>
    <t>Presupuesto Aprobado</t>
  </si>
  <si>
    <t>Presupuesto Modificado</t>
  </si>
  <si>
    <t xml:space="preserve">Gasto devengado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</si>
  <si>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</si>
  <si>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</si>
  <si>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</si>
  <si>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</si>
  <si>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</si>
  <si>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</si>
  <si>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</si>
  <si>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</si>
  <si>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</si>
  <si>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</si>
  <si>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</si>
  <si>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</si>
  <si>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</si>
  <si>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</si>
  <si>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0001 - Dirección y Administración</t>
  </si>
  <si>
    <t>11-Representacion, Fiscalizacion y Gestion Legislativa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</si>
  <si>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</si>
  <si>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</si>
  <si>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</si>
  <si>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</si>
  <si>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</si>
  <si>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</si>
  <si>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</si>
  <si>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</si>
  <si>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</si>
  <si>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</si>
  <si>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</si>
  <si>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</si>
  <si>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</si>
  <si>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</si>
  <si>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</si>
  <si>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</si>
  <si>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</si>
  <si>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</si>
  <si>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</si>
  <si>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</si>
  <si>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 Y MEDICINALES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</si>
  <si>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</si>
  <si>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</si>
  <si>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</si>
  <si>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</si>
  <si>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</si>
  <si>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</si>
  <si>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</si>
  <si>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</si>
  <si>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</si>
  <si>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</si>
  <si>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</si>
  <si>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</si>
  <si>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</si>
  <si>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</si>
  <si>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</si>
  <si>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</si>
  <si>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</si>
  <si>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</si>
  <si>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</si>
  <si>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</si>
  <si>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</si>
  <si>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</si>
  <si>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</si>
  <si>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</si>
  <si>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</si>
  <si>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</si>
  <si>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</si>
  <si>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</si>
  <si>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</si>
  <si>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</si>
  <si>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</si>
  <si>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</si>
  <si>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</si>
  <si>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</si>
  <si>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</si>
  <si>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</si>
  <si>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</si>
  <si>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</si>
  <si>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</si>
  <si>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</si>
  <si>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</si>
  <si>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</si>
  <si>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</si>
  <si>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</si>
  <si>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</si>
  <si>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</si>
  <si>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</si>
  <si>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</si>
  <si>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</si>
  <si>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</si>
  <si>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</si>
  <si>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</si>
  <si>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0002 - Discusión de iniciativas legislativas y fiscalización</t>
  </si>
  <si>
    <t>2.1.1 - REMUNERACIONES Y CONTRIBUCIONES</t>
  </si>
  <si>
    <t>0003 - Legislación parlacen</t>
  </si>
  <si>
    <t>2.4.7 - TRANSFERENCIA CORRIENTE AL SECTOR ETERNO</t>
  </si>
  <si>
    <t>Total General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</si>
  <si>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</si>
  <si>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</si>
  <si>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</si>
  <si>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</si>
  <si>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</si>
  <si>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</si>
  <si>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>6.Fuente:  Reporte del -SIGEF</t>
  </si>
  <si>
    <t>Año 2026</t>
  </si>
  <si>
    <t>2.3.1. ALIMENTOS Y BEBIDAS PARA PERSONAS</t>
  </si>
  <si>
    <t>2.1.4- GRATIFICACIONES Y BONIFICACIONES</t>
  </si>
  <si>
    <t>2.3.9 PRODUCTOS Y UTILES VARIOS</t>
  </si>
  <si>
    <t>2.2.7 SERVICIOS DE CONSERVACION T REP MENORES E INSTALACIONES</t>
  </si>
  <si>
    <t>LIC. TANIA M. RUIZ CAAMAÑO</t>
  </si>
  <si>
    <t>ENC. DPTO. PRESUPUESTO</t>
  </si>
  <si>
    <t xml:space="preserve">LIC. ELBITA PEÑA </t>
  </si>
  <si>
    <t>COORDINADORA CONTABILIDAD</t>
  </si>
  <si>
    <t>LIC. ROSA ANDREA PIMENTEL</t>
  </si>
  <si>
    <t>DIRECTORA FINANCIERA</t>
  </si>
  <si>
    <t>Modificciones Presupuestaria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</si>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</sst>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22"/>
      <color indexed="8"/>
      <name val="Calibri"/>
      <family val="2"/>
    </font>
    <font>
      <sz val="11"/>
      <color indexed="8"/>
      <name val="Calibri"/>
      <family val="2"/>
    </font>
    <font>
      <sz val="16"/>
      <color indexed="8"/>
      <name val="Calibri"/>
      <family val="2"/>
    </font>
    <font>
      <sz val="12"/>
      <color indexed="8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8EA9DB"/>
      </bottom>
      <diagonal/>
    </border>
    <border>
      <left/>
      <right style="thin">
        <color rgb="FFFFFFFF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8EA9DB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164" fontId="3" fillId="0" borderId="0" xfId="0" applyNumberFormat="1" applyFont="1"/>
    <xf numFmtId="43" fontId="3" fillId="0" borderId="0" xfId="1" applyFont="1"/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43" fontId="6" fillId="2" borderId="8" xfId="1" applyFont="1" applyFill="1" applyBorder="1" applyAlignment="1">
      <alignment horizontal="center"/>
    </xf>
    <xf numFmtId="0" fontId="7" fillId="0" borderId="10" xfId="0" applyFont="1" applyBorder="1" applyAlignment="1">
      <alignment horizontal="left"/>
    </xf>
    <xf numFmtId="164" fontId="7" fillId="0" borderId="0" xfId="0" applyNumberFormat="1" applyFont="1"/>
    <xf numFmtId="164" fontId="7" fillId="0" borderId="10" xfId="0" applyNumberFormat="1" applyFont="1" applyBorder="1"/>
    <xf numFmtId="43" fontId="7" fillId="0" borderId="10" xfId="1" applyFont="1" applyBorder="1"/>
    <xf numFmtId="0" fontId="7" fillId="3" borderId="0" xfId="0" applyFont="1" applyFill="1" applyAlignment="1">
      <alignment horizontal="left"/>
    </xf>
    <xf numFmtId="0" fontId="7" fillId="0" borderId="0" xfId="0" applyFont="1" applyAlignment="1">
      <alignment horizontal="left" indent="1"/>
    </xf>
    <xf numFmtId="43" fontId="8" fillId="0" borderId="0" xfId="1" applyFont="1" applyFill="1" applyBorder="1"/>
    <xf numFmtId="43" fontId="3" fillId="0" borderId="0" xfId="1" applyFont="1" applyFill="1" applyBorder="1" applyAlignment="1" applyProtection="1"/>
    <xf numFmtId="0" fontId="3" fillId="0" borderId="0" xfId="0" applyFont="1" applyAlignment="1">
      <alignment horizontal="left" indent="2"/>
    </xf>
    <xf numFmtId="43" fontId="9" fillId="0" borderId="0" xfId="1" applyFont="1" applyFill="1" applyBorder="1"/>
    <xf numFmtId="43" fontId="3" fillId="0" borderId="11" xfId="1" applyFont="1" applyFill="1" applyBorder="1" applyAlignment="1" applyProtection="1"/>
    <xf numFmtId="43" fontId="3" fillId="0" borderId="4" xfId="1" applyFont="1" applyFill="1" applyBorder="1" applyAlignment="1" applyProtection="1"/>
    <xf numFmtId="43" fontId="10" fillId="0" borderId="0" xfId="1" applyFont="1" applyFill="1" applyBorder="1" applyAlignment="1" applyProtection="1"/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vertical="center" wrapText="1" indent="2"/>
    </xf>
    <xf numFmtId="43" fontId="11" fillId="0" borderId="0" xfId="1" applyFont="1" applyFill="1" applyBorder="1" applyAlignment="1" applyProtection="1"/>
    <xf numFmtId="43" fontId="7" fillId="0" borderId="0" xfId="1" applyFont="1" applyFill="1" applyBorder="1" applyAlignment="1" applyProtection="1"/>
    <xf numFmtId="43" fontId="0" fillId="0" borderId="0" xfId="1" applyFont="1" applyFill="1" applyBorder="1"/>
    <xf numFmtId="43" fontId="0" fillId="0" borderId="0" xfId="1" applyFont="1" applyBorder="1" applyAlignment="1"/>
    <xf numFmtId="4" fontId="12" fillId="0" borderId="0" xfId="0" applyNumberFormat="1" applyFont="1" applyAlignment="1">
      <alignment vertical="top"/>
    </xf>
    <xf numFmtId="43" fontId="13" fillId="0" borderId="0" xfId="1" applyFont="1" applyBorder="1" applyAlignment="1"/>
    <xf numFmtId="43" fontId="7" fillId="0" borderId="10" xfId="1" applyFont="1" applyFill="1" applyBorder="1" applyAlignment="1" applyProtection="1"/>
    <xf numFmtId="0" fontId="14" fillId="3" borderId="0" xfId="0" applyFont="1" applyFill="1"/>
    <xf numFmtId="0" fontId="7" fillId="0" borderId="0" xfId="0" applyFont="1"/>
    <xf numFmtId="0" fontId="14" fillId="0" borderId="0" xfId="0" applyFont="1"/>
    <xf numFmtId="0" fontId="13" fillId="0" borderId="0" xfId="0" applyFont="1"/>
    <xf numFmtId="43" fontId="13" fillId="0" borderId="0" xfId="1" applyFont="1" applyFill="1" applyBorder="1" applyAlignment="1"/>
    <xf numFmtId="43" fontId="12" fillId="0" borderId="0" xfId="1" applyFont="1"/>
    <xf numFmtId="43" fontId="12" fillId="0" borderId="0" xfId="1" applyFont="1" applyAlignment="1"/>
    <xf numFmtId="43" fontId="12" fillId="0" borderId="0" xfId="1" applyFont="1" applyAlignment="1">
      <alignment vertical="top"/>
    </xf>
    <xf numFmtId="0" fontId="13" fillId="0" borderId="0" xfId="0" applyFont="1" applyAlignment="1">
      <alignment wrapText="1"/>
    </xf>
    <xf numFmtId="0" fontId="14" fillId="0" borderId="12" xfId="0" applyFont="1" applyBorder="1"/>
    <xf numFmtId="0" fontId="14" fillId="0" borderId="0" xfId="0" applyFont="1" applyAlignment="1">
      <alignment horizontal="left"/>
    </xf>
    <xf numFmtId="0" fontId="13" fillId="4" borderId="0" xfId="0" applyFont="1" applyFill="1" applyAlignment="1">
      <alignment horizontal="left"/>
    </xf>
    <xf numFmtId="0" fontId="6" fillId="2" borderId="13" xfId="0" applyFont="1" applyFill="1" applyBorder="1" applyAlignment="1">
      <alignment vertical="center"/>
    </xf>
    <xf numFmtId="43" fontId="15" fillId="2" borderId="13" xfId="0" applyNumberFormat="1" applyFont="1" applyFill="1" applyBorder="1"/>
    <xf numFmtId="43" fontId="15" fillId="2" borderId="13" xfId="1" applyFont="1" applyFill="1" applyBorder="1"/>
    <xf numFmtId="43" fontId="6" fillId="2" borderId="3" xfId="0" applyNumberFormat="1" applyFont="1" applyFill="1" applyBorder="1" applyAlignment="1">
      <alignment horizontal="center" vertical="center" wrapText="1"/>
    </xf>
    <xf numFmtId="43" fontId="6" fillId="2" borderId="7" xfId="0" applyNumberFormat="1" applyFont="1" applyFill="1" applyBorder="1" applyAlignment="1">
      <alignment horizontal="center" vertical="center" wrapText="1"/>
    </xf>
    <xf numFmtId="43" fontId="7" fillId="3" borderId="0" xfId="1" applyFont="1" applyFill="1" applyBorder="1" applyAlignment="1" applyProtection="1"/>
    <xf numFmtId="164" fontId="7" fillId="3" borderId="0" xfId="0" applyNumberFormat="1" applyFont="1" applyFill="1"/>
    <xf numFmtId="43" fontId="7" fillId="3" borderId="0" xfId="1" applyFont="1" applyFill="1"/>
    <xf numFmtId="43" fontId="3" fillId="3" borderId="0" xfId="1" applyFont="1" applyFill="1" applyBorder="1" applyAlignment="1" applyProtection="1"/>
    <xf numFmtId="39" fontId="12" fillId="0" borderId="0" xfId="0" applyNumberFormat="1" applyFont="1" applyAlignment="1">
      <alignment vertical="top"/>
    </xf>
    <xf numFmtId="39" fontId="12" fillId="0" borderId="0" xfId="0" applyNumberFormat="1" applyFont="1"/>
    <xf numFmtId="4" fontId="0" fillId="0" borderId="0" xfId="0" applyNumberFormat="1" applyAlignment="1">
      <alignment vertical="top"/>
    </xf>
    <xf numFmtId="0" fontId="3" fillId="4" borderId="0" xfId="0" applyFont="1" applyFill="1"/>
    <xf numFmtId="43" fontId="3" fillId="4" borderId="0" xfId="1" applyFont="1" applyFill="1"/>
    <xf numFmtId="43" fontId="3" fillId="4" borderId="0" xfId="0" applyNumberFormat="1" applyFont="1" applyFill="1"/>
    <xf numFmtId="43" fontId="3" fillId="4" borderId="0" xfId="1" applyFont="1" applyFill="1" applyBorder="1" applyAlignment="1" applyProtection="1"/>
    <xf numFmtId="0" fontId="7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43" fontId="13" fillId="0" borderId="0" xfId="1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43" fontId="6" fillId="2" borderId="3" xfId="0" applyNumberFormat="1" applyFont="1" applyFill="1" applyBorder="1" applyAlignment="1">
      <alignment horizontal="center" vertical="center" wrapText="1"/>
    </xf>
    <xf numFmtId="43" fontId="6" fillId="2" borderId="7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43" fontId="3" fillId="0" borderId="0" xfId="0" applyNumberFormat="1" applyFont="1"/>
    <xf numFmtId="43" fontId="16" fillId="0" borderId="0" xfId="1" applyFont="1" applyFill="1" applyBorder="1" applyAlignment="1" applyProtection="1"/>
    <xf numFmtId="43" fontId="7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1009650</xdr:colOff>
      <xdr:row>0</xdr:row>
      <xdr:rowOff>28576</xdr:rowOff>
    </xdr:from>
    <xdr:to>
      <xdr:col>2</xdr:col>
      <xdr:colOff>847725</xdr:colOff>
      <xdr:row>3</xdr:row>
      <xdr:rowOff>335719</xdr:rowOff>
    </xdr:to>
    <xdr:pic>
      <xdr:nvPicPr>
        <xdr:cNvPr id="5" name="Imagen 4" descr="Escudo de República Dominicana">
          <a:extLst>
            <a:ext uri="{FF2B5EF4-FFF2-40B4-BE49-F238E27FC236}">
              <a16:creationId xmlns:a16="http://schemas.microsoft.com/office/drawing/2014/main" id="{076A96E2-DBB3-4A06-8000-A0ED5F760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28576"/>
          <a:ext cx="1076325" cy="878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02D79-273E-4467-AF7A-916E6D346391}">
  <sheetPr>
    <tabColor theme="8" tint="0.39997558519241921"/>
  </sheetPr>
  <dimension ref="A3:Y232"/>
  <sheetViews>
    <sheetView tabSelected="1" zoomScale="98" zoomScaleNormal="98" workbookViewId="0">
      <pane xSplit="4" ySplit="12" topLeftCell="H106" activePane="bottomRight" state="frozen"/>
      <selection pane="topRight" activeCell="E1" sqref="E1"/>
      <selection pane="bottomLeft" activeCell="A13" sqref="A13"/>
      <selection pane="bottomRight" activeCell="V118" sqref="V118"/>
    </sheetView>
  </sheetViews>
  <sheetFormatPr baseColWidth="10" defaultRowHeight="15" x14ac:dyDescent="0.25"/>
  <cols>
    <col min="1" max="1" width="64.140625" style="1" customWidth="1"/>
    <col min="2" max="3" width="18.5703125" style="1" customWidth="1"/>
    <col min="4" max="4" width="17" style="1" customWidth="1"/>
    <col min="5" max="5" width="18.42578125" style="1" customWidth="1"/>
    <col min="6" max="6" width="15.85546875" style="1" customWidth="1"/>
    <col min="7" max="12" width="17.42578125" style="1" customWidth="1"/>
    <col min="13" max="14" width="15.28515625" style="1" hidden="1" customWidth="1"/>
    <col min="15" max="16" width="15.85546875" style="1" hidden="1" customWidth="1"/>
    <col min="17" max="19" width="15.28515625" style="1" hidden="1" customWidth="1"/>
    <col min="20" max="20" width="15.140625" style="3" hidden="1" customWidth="1"/>
    <col min="21" max="21" width="17.140625" style="1" hidden="1" customWidth="1"/>
    <col min="22" max="22" width="17.28515625" style="3" customWidth="1"/>
    <col min="23" max="23" width="16.85546875" style="1" bestFit="1" customWidth="1"/>
    <col min="24" max="24" width="15.85546875" style="1" bestFit="1" customWidth="1"/>
    <col min="25" max="25" width="15.140625" style="1" bestFit="1" customWidth="1"/>
    <col min="26" max="16384" width="11.42578125" style="1"/>
  </cols>
  <sheetData>
    <row r="3" spans="1:24" x14ac:dyDescent="0.25">
      <c r="F3" s="74"/>
      <c r="G3" s="74"/>
    </row>
    <row r="4" spans="1:24" ht="28.5" x14ac:dyDescent="0.25">
      <c r="A4" s="66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</row>
    <row r="5" spans="1:24" ht="21" x14ac:dyDescent="0.25">
      <c r="A5" s="68" t="s">
        <v>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</row>
    <row r="6" spans="1:24" ht="15.75" x14ac:dyDescent="0.25">
      <c r="A6" s="70" t="s">
        <v>108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</row>
    <row r="7" spans="1:24" ht="15.75" x14ac:dyDescent="0.25">
      <c r="A7" s="72" t="s">
        <v>1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</row>
    <row r="8" spans="1:24" ht="15.75" x14ac:dyDescent="0.25">
      <c r="A8" s="73" t="s">
        <v>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</row>
    <row r="9" spans="1:24" x14ac:dyDescent="0.25">
      <c r="F9" s="2"/>
      <c r="H9" s="74"/>
    </row>
    <row r="10" spans="1:24" ht="30" x14ac:dyDescent="0.25">
      <c r="A10" s="60" t="s">
        <v>3</v>
      </c>
      <c r="B10" s="62" t="s">
        <v>4</v>
      </c>
      <c r="C10" s="44" t="s">
        <v>119</v>
      </c>
      <c r="D10" s="62" t="s">
        <v>5</v>
      </c>
      <c r="E10" s="64" t="s">
        <v>6</v>
      </c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5"/>
    </row>
    <row r="11" spans="1:24" x14ac:dyDescent="0.25">
      <c r="A11" s="61"/>
      <c r="B11" s="63"/>
      <c r="C11" s="45"/>
      <c r="D11" s="63"/>
      <c r="E11" s="4" t="s">
        <v>7</v>
      </c>
      <c r="F11" s="4" t="s">
        <v>8</v>
      </c>
      <c r="G11" s="4" t="s">
        <v>9</v>
      </c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120</v>
      </c>
      <c r="M11" s="4" t="s">
        <v>10</v>
      </c>
      <c r="N11" s="5" t="s">
        <v>11</v>
      </c>
      <c r="O11" s="4" t="s">
        <v>12</v>
      </c>
      <c r="P11" s="5" t="s">
        <v>13</v>
      </c>
      <c r="Q11" s="4" t="s">
        <v>14</v>
      </c>
      <c r="R11" s="4" t="s">
        <v>15</v>
      </c>
      <c r="S11" s="4" t="s">
        <v>16</v>
      </c>
      <c r="T11" s="6" t="s">
        <v>17</v>
      </c>
      <c r="U11" s="5" t="s">
        <v>18</v>
      </c>
      <c r="V11" s="6" t="s">
        <v>19</v>
      </c>
    </row>
    <row r="12" spans="1:24" x14ac:dyDescent="0.25">
      <c r="A12" s="7" t="s">
        <v>20</v>
      </c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10"/>
      <c r="U12" s="9"/>
      <c r="V12" s="10"/>
    </row>
    <row r="13" spans="1:24" x14ac:dyDescent="0.25">
      <c r="A13" s="11" t="s">
        <v>21</v>
      </c>
      <c r="B13" s="47">
        <f>+B14</f>
        <v>4086417338</v>
      </c>
      <c r="C13" s="47">
        <f>+C14+C88</f>
        <v>0</v>
      </c>
      <c r="D13" s="47">
        <f>+D14</f>
        <v>3794392338</v>
      </c>
      <c r="E13" s="47">
        <f>+E15+E21+E31+E41+E57+E72</f>
        <v>1455499354.47</v>
      </c>
      <c r="F13" s="47">
        <f>+F14+F21+F31+F41+F57+F115</f>
        <v>336563050.06999999</v>
      </c>
      <c r="G13" s="47">
        <f t="shared" ref="G13:H13" si="0">+G14+G21+G31+G41+G57+G115</f>
        <v>371663122.00000006</v>
      </c>
      <c r="H13" s="47">
        <f t="shared" si="0"/>
        <v>371774398.27999997</v>
      </c>
      <c r="I13" s="47">
        <f>+I14+I21+I31+I41+I57+I115+I67</f>
        <v>489717547.26999998</v>
      </c>
      <c r="J13" s="47">
        <f>+J14+J21+J31+J41+J57+J115+J67</f>
        <v>436421146.84999996</v>
      </c>
      <c r="K13" s="47">
        <f>+K14+K21+K31+K41+K57+K115+K67</f>
        <v>548472270.89999998</v>
      </c>
      <c r="L13" s="47">
        <f>+L14+L21+L31+L41+L57+L115+L67</f>
        <v>493898559.64999998</v>
      </c>
      <c r="M13" s="47">
        <f t="shared" ref="M13" si="1">+M14+M21+M31+M41+M57+M115</f>
        <v>0</v>
      </c>
      <c r="N13" s="47">
        <f t="shared" ref="N13:T13" si="2">+N14+N21+N31+N41+N57+N115</f>
        <v>0</v>
      </c>
      <c r="O13" s="47">
        <f t="shared" si="2"/>
        <v>0</v>
      </c>
      <c r="P13" s="47">
        <f t="shared" si="2"/>
        <v>0</v>
      </c>
      <c r="Q13" s="47">
        <f t="shared" si="2"/>
        <v>0</v>
      </c>
      <c r="R13" s="47">
        <f t="shared" si="2"/>
        <v>0</v>
      </c>
      <c r="S13" s="47">
        <f t="shared" si="2"/>
        <v>0</v>
      </c>
      <c r="T13" s="48">
        <f t="shared" si="2"/>
        <v>0</v>
      </c>
      <c r="U13" s="47">
        <f>+U15+U21+U31+U41+U57</f>
        <v>0</v>
      </c>
      <c r="V13" s="48">
        <f>SUM(E13:U13)</f>
        <v>4504009449.4899998</v>
      </c>
    </row>
    <row r="14" spans="1:24" x14ac:dyDescent="0.25">
      <c r="A14" s="11" t="s">
        <v>22</v>
      </c>
      <c r="B14" s="47">
        <f>+B15+B21+B31+B57+B67</f>
        <v>4086417338</v>
      </c>
      <c r="C14" s="47">
        <f>+C15+C21+C31+C41+C57</f>
        <v>-335485000</v>
      </c>
      <c r="D14" s="47">
        <f>+D15+D21+D31+D57+D67</f>
        <v>3794392338</v>
      </c>
      <c r="E14" s="47">
        <f t="shared" ref="E14" si="3">+E15+E89</f>
        <v>250083861.87</v>
      </c>
      <c r="F14" s="47">
        <f t="shared" ref="F14:L14" si="4">+F15+F89</f>
        <v>256478128.22</v>
      </c>
      <c r="G14" s="47">
        <f t="shared" si="4"/>
        <v>250641293.58000001</v>
      </c>
      <c r="H14" s="47">
        <f t="shared" si="4"/>
        <v>252670114.29999998</v>
      </c>
      <c r="I14" s="47">
        <f t="shared" si="4"/>
        <v>355285026.02999997</v>
      </c>
      <c r="J14" s="47">
        <f t="shared" si="4"/>
        <v>251129478.72</v>
      </c>
      <c r="K14" s="47">
        <f t="shared" ref="K14" si="5">+K15+K89</f>
        <v>362400318.91999996</v>
      </c>
      <c r="L14" s="47">
        <f t="shared" si="4"/>
        <v>248385088.18000001</v>
      </c>
      <c r="M14" s="47">
        <f t="shared" ref="M14:O14" si="6">+M15+M89</f>
        <v>0</v>
      </c>
      <c r="N14" s="47">
        <f t="shared" si="6"/>
        <v>0</v>
      </c>
      <c r="O14" s="47">
        <f t="shared" si="6"/>
        <v>0</v>
      </c>
      <c r="P14" s="47">
        <f>+P15+P89</f>
        <v>0</v>
      </c>
      <c r="Q14" s="47">
        <f>+Q15+Q89</f>
        <v>0</v>
      </c>
      <c r="R14" s="47">
        <f t="shared" ref="R14:U14" si="7">+R15+R89</f>
        <v>0</v>
      </c>
      <c r="S14" s="47">
        <f t="shared" si="7"/>
        <v>0</v>
      </c>
      <c r="T14" s="48">
        <f t="shared" si="7"/>
        <v>0</v>
      </c>
      <c r="U14" s="48">
        <f t="shared" si="7"/>
        <v>0</v>
      </c>
      <c r="V14" s="48">
        <f>SUM(E14:U14)</f>
        <v>2227073309.8199997</v>
      </c>
    </row>
    <row r="15" spans="1:24" x14ac:dyDescent="0.25">
      <c r="A15" s="12" t="s">
        <v>23</v>
      </c>
      <c r="B15" s="13">
        <f>SUM(B16:B20)</f>
        <v>2727710592</v>
      </c>
      <c r="C15" s="13">
        <f>SUM(C16:C20)</f>
        <v>-302273539</v>
      </c>
      <c r="D15" s="13">
        <f t="shared" ref="D15:L15" si="8">SUM(D16:D20)</f>
        <v>2425437053</v>
      </c>
      <c r="E15" s="13">
        <f t="shared" si="8"/>
        <v>154483861.87</v>
      </c>
      <c r="F15" s="13">
        <f t="shared" si="8"/>
        <v>160878128.22</v>
      </c>
      <c r="G15" s="13">
        <f t="shared" si="8"/>
        <v>155041293.58000001</v>
      </c>
      <c r="H15" s="13">
        <f t="shared" si="8"/>
        <v>157070114.29999998</v>
      </c>
      <c r="I15" s="13">
        <f t="shared" ref="I15:K15" si="9">SUM(I16:I20)</f>
        <v>259685026.03</v>
      </c>
      <c r="J15" s="13">
        <f t="shared" si="9"/>
        <v>155529478.72</v>
      </c>
      <c r="K15" s="13">
        <f t="shared" si="9"/>
        <v>266800318.91999996</v>
      </c>
      <c r="L15" s="13">
        <f t="shared" si="8"/>
        <v>152785088.18000001</v>
      </c>
      <c r="M15" s="13">
        <f t="shared" ref="M15:U15" si="10">SUM(M16:M20)</f>
        <v>0</v>
      </c>
      <c r="N15" s="13">
        <f t="shared" si="10"/>
        <v>0</v>
      </c>
      <c r="O15" s="13">
        <f t="shared" si="10"/>
        <v>0</v>
      </c>
      <c r="P15" s="13">
        <f t="shared" si="10"/>
        <v>0</v>
      </c>
      <c r="Q15" s="13">
        <f t="shared" si="10"/>
        <v>0</v>
      </c>
      <c r="R15" s="13">
        <f t="shared" si="10"/>
        <v>0</v>
      </c>
      <c r="S15" s="13">
        <f t="shared" si="10"/>
        <v>0</v>
      </c>
      <c r="T15" s="13">
        <f t="shared" si="10"/>
        <v>0</v>
      </c>
      <c r="U15" s="13">
        <f t="shared" si="10"/>
        <v>0</v>
      </c>
      <c r="V15" s="76">
        <f>SUM(E15:U15)</f>
        <v>1462273309.8199999</v>
      </c>
      <c r="W15" s="14"/>
      <c r="X15" s="14"/>
    </row>
    <row r="16" spans="1:24" x14ac:dyDescent="0.25">
      <c r="A16" s="15" t="s">
        <v>24</v>
      </c>
      <c r="B16" s="16">
        <v>1740809196</v>
      </c>
      <c r="C16" s="16">
        <v>-339611539</v>
      </c>
      <c r="D16" s="14">
        <f>+B16+C16</f>
        <v>1401197657</v>
      </c>
      <c r="E16" s="50">
        <f>166475316.65-61350000</f>
        <v>105125316.65000001</v>
      </c>
      <c r="F16" s="14">
        <f>172966125.72-61350000</f>
        <v>111616125.72</v>
      </c>
      <c r="G16" s="14">
        <f>166674143.18-95600000</f>
        <v>71074143.180000007</v>
      </c>
      <c r="H16" s="14">
        <v>107346300.56999999</v>
      </c>
      <c r="I16" s="14">
        <f>168675372.31-I89</f>
        <v>73075372.310000002</v>
      </c>
      <c r="J16" s="14">
        <f>168782805.88-61350000</f>
        <v>107432805.88</v>
      </c>
      <c r="K16" s="14">
        <f>167249745.39-61350000</f>
        <v>105899745.38999999</v>
      </c>
      <c r="L16" s="14">
        <f>165685679.69-61350000</f>
        <v>104335679.69</v>
      </c>
      <c r="M16" s="14"/>
      <c r="N16" s="14"/>
      <c r="O16" s="14"/>
      <c r="P16" s="14"/>
      <c r="Q16" s="14"/>
      <c r="R16" s="14"/>
      <c r="S16" s="14"/>
      <c r="U16" s="14"/>
      <c r="V16" s="3">
        <f>SUM(E16:U16)</f>
        <v>785905489.38999987</v>
      </c>
      <c r="W16" s="14"/>
      <c r="X16" s="14"/>
    </row>
    <row r="17" spans="1:24" x14ac:dyDescent="0.25">
      <c r="A17" s="15" t="s">
        <v>25</v>
      </c>
      <c r="B17" s="16">
        <v>124798662</v>
      </c>
      <c r="C17" s="16"/>
      <c r="D17" s="14">
        <f t="shared" ref="D16:D20" si="11">+B17-C17</f>
        <v>124798662</v>
      </c>
      <c r="E17" s="50">
        <v>10826725</v>
      </c>
      <c r="F17" s="17">
        <v>11159725</v>
      </c>
      <c r="G17" s="14">
        <v>11721575</v>
      </c>
      <c r="H17" s="14">
        <v>11683725</v>
      </c>
      <c r="I17" s="14">
        <v>10537025</v>
      </c>
      <c r="J17" s="14">
        <v>10210725</v>
      </c>
      <c r="K17" s="14">
        <v>10519875</v>
      </c>
      <c r="L17" s="14">
        <v>10691875</v>
      </c>
      <c r="M17" s="14"/>
      <c r="N17" s="14"/>
      <c r="O17" s="14"/>
      <c r="P17" s="14"/>
      <c r="Q17" s="14"/>
      <c r="R17" s="14"/>
      <c r="S17" s="14"/>
      <c r="U17" s="14"/>
      <c r="V17" s="3">
        <f t="shared" ref="V17:V20" si="12">SUM(E17:U17)</f>
        <v>87351250</v>
      </c>
      <c r="W17" s="14"/>
      <c r="X17" s="14"/>
    </row>
    <row r="18" spans="1:24" x14ac:dyDescent="0.25">
      <c r="A18" s="15" t="s">
        <v>26</v>
      </c>
      <c r="B18" s="16">
        <v>220723990</v>
      </c>
      <c r="C18" s="16"/>
      <c r="D18" s="14">
        <f t="shared" si="11"/>
        <v>220723990</v>
      </c>
      <c r="E18" s="50">
        <v>22790100</v>
      </c>
      <c r="F18" s="14">
        <v>22337800</v>
      </c>
      <c r="G18" s="14">
        <v>22223300</v>
      </c>
      <c r="H18" s="14">
        <v>22291100</v>
      </c>
      <c r="I18" s="14">
        <v>22177200</v>
      </c>
      <c r="J18" s="14">
        <v>22190200</v>
      </c>
      <c r="K18" s="14">
        <v>22355200</v>
      </c>
      <c r="L18" s="14">
        <v>22094366.670000002</v>
      </c>
      <c r="M18" s="14"/>
      <c r="N18" s="14"/>
      <c r="O18" s="14"/>
      <c r="P18" s="14"/>
      <c r="Q18" s="14"/>
      <c r="R18" s="14"/>
      <c r="S18" s="14"/>
      <c r="U18" s="14"/>
      <c r="V18" s="3">
        <f t="shared" si="12"/>
        <v>178459266.67000002</v>
      </c>
      <c r="W18" s="18"/>
      <c r="X18" s="14"/>
    </row>
    <row r="19" spans="1:24" x14ac:dyDescent="0.25">
      <c r="A19" s="15" t="s">
        <v>27</v>
      </c>
      <c r="B19" s="16">
        <v>455748000</v>
      </c>
      <c r="C19" s="16">
        <v>37338000</v>
      </c>
      <c r="D19" s="14">
        <f>+B19+C19</f>
        <v>493086000</v>
      </c>
      <c r="E19" s="14">
        <v>0</v>
      </c>
      <c r="F19" s="14">
        <v>0</v>
      </c>
      <c r="G19" s="14"/>
      <c r="H19" s="14"/>
      <c r="I19" s="14">
        <v>103950000</v>
      </c>
      <c r="J19" s="14"/>
      <c r="K19" s="14">
        <v>112335956.45999999</v>
      </c>
      <c r="L19" s="14"/>
      <c r="M19" s="14"/>
      <c r="N19" s="14"/>
      <c r="O19" s="14"/>
      <c r="P19" s="14"/>
      <c r="Q19" s="14"/>
      <c r="R19" s="14"/>
      <c r="S19" s="14"/>
      <c r="U19" s="14"/>
      <c r="V19" s="3">
        <f t="shared" si="12"/>
        <v>216285956.45999998</v>
      </c>
      <c r="W19" s="14"/>
      <c r="X19" s="14"/>
    </row>
    <row r="20" spans="1:24" x14ac:dyDescent="0.25">
      <c r="A20" s="15" t="s">
        <v>28</v>
      </c>
      <c r="B20" s="16">
        <v>185630744</v>
      </c>
      <c r="C20" s="16"/>
      <c r="D20" s="14">
        <f t="shared" si="11"/>
        <v>185630744</v>
      </c>
      <c r="E20" s="14">
        <v>15741720.220000001</v>
      </c>
      <c r="F20" s="14">
        <f>50014477.5-34250000</f>
        <v>15764477.5</v>
      </c>
      <c r="G20" s="14">
        <v>50022275.399999999</v>
      </c>
      <c r="H20" s="14">
        <v>15748988.73</v>
      </c>
      <c r="I20" s="14">
        <v>49945428.719999999</v>
      </c>
      <c r="J20" s="14">
        <f>49945747.84-34250000</f>
        <v>15695747.840000004</v>
      </c>
      <c r="K20" s="14">
        <f>49939542.07-34250000</f>
        <v>15689542.07</v>
      </c>
      <c r="L20" s="14">
        <f>49913166.82-34250000</f>
        <v>15663166.82</v>
      </c>
      <c r="M20" s="14"/>
      <c r="N20" s="14"/>
      <c r="O20" s="14"/>
      <c r="P20" s="14"/>
      <c r="Q20" s="14"/>
      <c r="R20" s="14"/>
      <c r="S20" s="14"/>
      <c r="U20" s="14"/>
      <c r="V20" s="3">
        <f t="shared" si="12"/>
        <v>194271347.29999998</v>
      </c>
      <c r="W20" s="14"/>
      <c r="X20" s="14"/>
    </row>
    <row r="21" spans="1:24" x14ac:dyDescent="0.25">
      <c r="A21" s="12" t="s">
        <v>29</v>
      </c>
      <c r="B21" s="19">
        <f>SUM(B22:B30)</f>
        <v>901637049</v>
      </c>
      <c r="C21" s="19">
        <f>SUM(C22:C30)</f>
        <v>38179011</v>
      </c>
      <c r="D21" s="19">
        <f t="shared" ref="D21:L21" si="13">SUM(D22:D30)</f>
        <v>939816060</v>
      </c>
      <c r="E21" s="19">
        <f t="shared" si="13"/>
        <v>178010196.74000001</v>
      </c>
      <c r="F21" s="19">
        <f t="shared" si="13"/>
        <v>29248666.319999993</v>
      </c>
      <c r="G21" s="19">
        <f t="shared" si="13"/>
        <v>60957849.899999999</v>
      </c>
      <c r="H21" s="19">
        <f t="shared" si="13"/>
        <v>63340440.719999999</v>
      </c>
      <c r="I21" s="19">
        <f t="shared" ref="I21:K21" si="14">SUM(I22:I30)</f>
        <v>68965370.069999993</v>
      </c>
      <c r="J21" s="19">
        <f t="shared" si="14"/>
        <v>122643039.10000001</v>
      </c>
      <c r="K21" s="19">
        <f t="shared" si="14"/>
        <v>50868506.979999997</v>
      </c>
      <c r="L21" s="19">
        <f>SUM(L22:L30)</f>
        <v>90733493.599999994</v>
      </c>
      <c r="M21" s="19">
        <f t="shared" ref="M21:U21" si="15">SUM(M22:M30)</f>
        <v>0</v>
      </c>
      <c r="N21" s="19">
        <f t="shared" si="15"/>
        <v>0</v>
      </c>
      <c r="O21" s="19">
        <f t="shared" si="15"/>
        <v>0</v>
      </c>
      <c r="P21" s="19">
        <f t="shared" si="15"/>
        <v>0</v>
      </c>
      <c r="Q21" s="19">
        <f t="shared" si="15"/>
        <v>0</v>
      </c>
      <c r="R21" s="19">
        <f t="shared" si="15"/>
        <v>0</v>
      </c>
      <c r="S21" s="19">
        <f t="shared" si="15"/>
        <v>0</v>
      </c>
      <c r="T21" s="19">
        <f t="shared" si="15"/>
        <v>0</v>
      </c>
      <c r="U21" s="19">
        <f t="shared" si="15"/>
        <v>0</v>
      </c>
      <c r="V21" s="76">
        <f>SUM(E21:U21)</f>
        <v>664767563.43000007</v>
      </c>
      <c r="W21" s="14"/>
      <c r="X21" s="14"/>
    </row>
    <row r="22" spans="1:24" x14ac:dyDescent="0.25">
      <c r="A22" s="15" t="s">
        <v>30</v>
      </c>
      <c r="B22" s="16">
        <v>73422636</v>
      </c>
      <c r="C22" s="16">
        <v>732000</v>
      </c>
      <c r="D22" s="14">
        <f>+B22+C22</f>
        <v>74154636</v>
      </c>
      <c r="E22" s="50">
        <v>5601502.3399999999</v>
      </c>
      <c r="F22" s="14">
        <v>5108089.1900000004</v>
      </c>
      <c r="G22" s="14">
        <v>5096472.34</v>
      </c>
      <c r="H22" s="14">
        <v>5652036.54</v>
      </c>
      <c r="I22" s="14">
        <v>5755412.21</v>
      </c>
      <c r="J22" s="14">
        <v>6160756.0800000001</v>
      </c>
      <c r="K22" s="14">
        <v>7022949</v>
      </c>
      <c r="L22" s="14">
        <v>6892815.9100000001</v>
      </c>
      <c r="M22" s="14"/>
      <c r="N22" s="14"/>
      <c r="O22" s="14"/>
      <c r="P22" s="14"/>
      <c r="Q22" s="14"/>
      <c r="R22" s="14"/>
      <c r="S22" s="14"/>
      <c r="U22" s="14"/>
      <c r="V22" s="3">
        <f t="shared" ref="V22:V30" si="16">SUM(E22:U22)</f>
        <v>47290033.609999999</v>
      </c>
      <c r="W22" s="14"/>
      <c r="X22" s="14"/>
    </row>
    <row r="23" spans="1:24" x14ac:dyDescent="0.25">
      <c r="A23" s="15" t="s">
        <v>31</v>
      </c>
      <c r="B23" s="16">
        <v>188000000</v>
      </c>
      <c r="C23" s="16"/>
      <c r="D23" s="14">
        <f t="shared" ref="D22:D29" si="17">+B23-C23</f>
        <v>188000000</v>
      </c>
      <c r="E23" s="50">
        <v>18644305.350000001</v>
      </c>
      <c r="F23" s="14">
        <f>2811800+3543891.85</f>
        <v>6355691.8499999996</v>
      </c>
      <c r="G23" s="14">
        <v>3006969.73</v>
      </c>
      <c r="H23" s="14">
        <v>19007498.300000001</v>
      </c>
      <c r="I23" s="14">
        <v>25312888.690000001</v>
      </c>
      <c r="J23" s="14">
        <v>23783917.850000001</v>
      </c>
      <c r="K23" s="14">
        <v>20594410.899999999</v>
      </c>
      <c r="L23" s="14">
        <v>26839595.260000002</v>
      </c>
      <c r="M23" s="14"/>
      <c r="N23" s="14"/>
      <c r="O23" s="14"/>
      <c r="P23" s="14"/>
      <c r="Q23" s="14"/>
      <c r="R23" s="14"/>
      <c r="S23" s="14"/>
      <c r="U23" s="14"/>
      <c r="V23" s="3">
        <f t="shared" si="16"/>
        <v>143545277.93000001</v>
      </c>
      <c r="W23" s="14"/>
      <c r="X23" s="14"/>
    </row>
    <row r="24" spans="1:24" x14ac:dyDescent="0.25">
      <c r="A24" s="15" t="s">
        <v>32</v>
      </c>
      <c r="B24" s="16"/>
      <c r="C24" s="16"/>
      <c r="D24" s="14">
        <f t="shared" si="17"/>
        <v>0</v>
      </c>
      <c r="E24" s="50"/>
      <c r="F24" s="75"/>
      <c r="G24" s="14"/>
      <c r="H24" s="14"/>
      <c r="I24" s="14">
        <v>0</v>
      </c>
      <c r="J24" s="14"/>
      <c r="K24" s="14"/>
      <c r="L24" s="3"/>
      <c r="M24" s="14"/>
      <c r="N24" s="14"/>
      <c r="O24" s="14"/>
      <c r="P24" s="14"/>
      <c r="Q24" s="14"/>
      <c r="R24" s="14"/>
      <c r="S24" s="14"/>
      <c r="U24" s="14"/>
      <c r="W24" s="14"/>
      <c r="X24" s="14"/>
    </row>
    <row r="25" spans="1:24" x14ac:dyDescent="0.25">
      <c r="A25" s="15" t="s">
        <v>33</v>
      </c>
      <c r="B25" s="16">
        <v>35120060</v>
      </c>
      <c r="C25" s="16"/>
      <c r="D25" s="14">
        <f t="shared" si="17"/>
        <v>35120060</v>
      </c>
      <c r="E25" s="50">
        <v>1402889.26</v>
      </c>
      <c r="F25" s="14">
        <v>2624373.38</v>
      </c>
      <c r="G25" s="14">
        <v>1008982.27</v>
      </c>
      <c r="H25" s="14">
        <v>5692065.0700000003</v>
      </c>
      <c r="I25" s="14">
        <v>5370291.9000000004</v>
      </c>
      <c r="J25" s="14">
        <v>4132945.4</v>
      </c>
      <c r="K25" s="14">
        <v>1344498.06</v>
      </c>
      <c r="L25" s="14">
        <v>2447348.7599999998</v>
      </c>
      <c r="M25" s="14"/>
      <c r="N25" s="14"/>
      <c r="O25" s="14"/>
      <c r="P25" s="14"/>
      <c r="Q25" s="14"/>
      <c r="R25" s="14"/>
      <c r="U25" s="14"/>
      <c r="V25" s="3">
        <f t="shared" si="16"/>
        <v>24023394.100000001</v>
      </c>
      <c r="W25" s="14"/>
      <c r="X25" s="14"/>
    </row>
    <row r="26" spans="1:24" x14ac:dyDescent="0.25">
      <c r="A26" s="15" t="s">
        <v>34</v>
      </c>
      <c r="B26" s="16">
        <v>47446060</v>
      </c>
      <c r="C26" s="16"/>
      <c r="D26" s="14">
        <f t="shared" si="17"/>
        <v>47446060</v>
      </c>
      <c r="E26" s="50">
        <v>1181024.48</v>
      </c>
      <c r="F26" s="14">
        <v>6792802.6699999999</v>
      </c>
      <c r="G26" s="14">
        <v>2142012.9900000002</v>
      </c>
      <c r="H26" s="14">
        <v>1988552.55</v>
      </c>
      <c r="I26" s="14">
        <v>2260454.7999999998</v>
      </c>
      <c r="J26" s="14">
        <v>43474218.340000004</v>
      </c>
      <c r="K26" s="14">
        <v>1173255.3700000001</v>
      </c>
      <c r="L26" s="14">
        <v>4247376.68</v>
      </c>
      <c r="M26" s="14"/>
      <c r="N26" s="14"/>
      <c r="O26" s="14"/>
      <c r="P26" s="14"/>
      <c r="Q26" s="14"/>
      <c r="R26" s="14"/>
      <c r="S26" s="14"/>
      <c r="U26" s="14"/>
      <c r="V26" s="3">
        <f>SUM(E26:U26)</f>
        <v>63259697.880000003</v>
      </c>
      <c r="W26" s="14"/>
      <c r="X26" s="14"/>
    </row>
    <row r="27" spans="1:24" x14ac:dyDescent="0.25">
      <c r="A27" s="15" t="s">
        <v>35</v>
      </c>
      <c r="B27" s="16">
        <v>333125468</v>
      </c>
      <c r="C27" s="16"/>
      <c r="D27" s="14">
        <f t="shared" si="17"/>
        <v>333125468</v>
      </c>
      <c r="E27" s="26">
        <v>42668772.350000001</v>
      </c>
      <c r="F27" s="14">
        <v>-2966604.29</v>
      </c>
      <c r="G27" s="14">
        <v>28405950.629999999</v>
      </c>
      <c r="H27" s="14">
        <v>17281160.649999999</v>
      </c>
      <c r="I27" s="14">
        <v>18978149.48</v>
      </c>
      <c r="J27" s="14">
        <v>16130816</v>
      </c>
      <c r="K27" s="14">
        <v>11729716.050000001</v>
      </c>
      <c r="L27" s="14">
        <v>13722969.18</v>
      </c>
      <c r="M27" s="14"/>
      <c r="N27" s="14"/>
      <c r="O27" s="14"/>
      <c r="P27" s="14"/>
      <c r="Q27" s="14"/>
      <c r="R27" s="14"/>
      <c r="S27" s="14"/>
      <c r="U27" s="14"/>
      <c r="V27" s="3">
        <f t="shared" si="16"/>
        <v>145950930.05000001</v>
      </c>
      <c r="W27" s="14"/>
      <c r="X27" s="14"/>
    </row>
    <row r="28" spans="1:24" ht="30" x14ac:dyDescent="0.25">
      <c r="A28" s="20" t="s">
        <v>36</v>
      </c>
      <c r="B28" s="16">
        <v>75279002</v>
      </c>
      <c r="C28" s="16"/>
      <c r="D28" s="14">
        <f t="shared" si="17"/>
        <v>75279002</v>
      </c>
      <c r="E28" s="52">
        <v>4091289.13</v>
      </c>
      <c r="F28" s="14">
        <f>4914738.41+472000+231914.1</f>
        <v>5618652.5099999998</v>
      </c>
      <c r="G28" s="14">
        <v>16567068.189999999</v>
      </c>
      <c r="H28" s="14">
        <v>4946645.58</v>
      </c>
      <c r="I28" s="14">
        <v>7629643.2599999998</v>
      </c>
      <c r="J28" s="14">
        <v>19674761.23</v>
      </c>
      <c r="K28" s="14">
        <v>5423086.1399999997</v>
      </c>
      <c r="L28" s="14">
        <v>4063636.59</v>
      </c>
      <c r="M28" s="14"/>
      <c r="N28" s="14"/>
      <c r="O28" s="14"/>
      <c r="P28" s="14"/>
      <c r="Q28" s="14"/>
      <c r="R28" s="14"/>
      <c r="S28" s="14"/>
      <c r="U28" s="14"/>
      <c r="V28" s="3">
        <f>SUM(E28:U28)</f>
        <v>68014782.629999995</v>
      </c>
      <c r="W28" s="14"/>
      <c r="X28" s="14"/>
    </row>
    <row r="29" spans="1:24" x14ac:dyDescent="0.25">
      <c r="A29" s="21" t="s">
        <v>37</v>
      </c>
      <c r="B29" s="16">
        <v>149243823</v>
      </c>
      <c r="C29" s="16">
        <v>37447011</v>
      </c>
      <c r="D29" s="14">
        <f>+B29+C29</f>
        <v>186690834</v>
      </c>
      <c r="E29" s="51">
        <v>104420413.83</v>
      </c>
      <c r="F29" s="14">
        <v>5715661.0099999998</v>
      </c>
      <c r="G29" s="14">
        <v>4730393.75</v>
      </c>
      <c r="H29" s="14">
        <v>8772482.0299999993</v>
      </c>
      <c r="I29" s="14">
        <v>3658529.73</v>
      </c>
      <c r="J29" s="14">
        <v>9285624.1999999993</v>
      </c>
      <c r="K29" s="14">
        <v>3580591.46</v>
      </c>
      <c r="L29" s="14">
        <v>32519751.219999999</v>
      </c>
      <c r="M29" s="14"/>
      <c r="N29" s="14"/>
      <c r="O29" s="14"/>
      <c r="P29" s="14"/>
      <c r="Q29" s="14"/>
      <c r="R29" s="14"/>
      <c r="S29" s="14"/>
      <c r="U29" s="14"/>
      <c r="V29" s="3">
        <f>SUM(E29:U29)</f>
        <v>172683447.23000002</v>
      </c>
      <c r="W29" s="14"/>
      <c r="X29" s="14"/>
    </row>
    <row r="30" spans="1:24" x14ac:dyDescent="0.25">
      <c r="A30" s="15" t="s">
        <v>38</v>
      </c>
      <c r="B30" s="22">
        <v>0</v>
      </c>
      <c r="C30" s="22"/>
      <c r="D30" s="14">
        <f>+B30-C30</f>
        <v>0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U30" s="14"/>
      <c r="V30" s="3">
        <f t="shared" si="16"/>
        <v>0</v>
      </c>
      <c r="W30" s="14"/>
      <c r="X30" s="14"/>
    </row>
    <row r="31" spans="1:24" x14ac:dyDescent="0.25">
      <c r="A31" s="12" t="s">
        <v>39</v>
      </c>
      <c r="B31" s="23">
        <f>SUM(B32:B40)</f>
        <v>241264497</v>
      </c>
      <c r="C31" s="23">
        <f>SUM(C32:C40)</f>
        <v>-364000</v>
      </c>
      <c r="D31" s="23">
        <f t="shared" ref="D31:L31" si="18">SUM(D32:D40)</f>
        <v>240900497</v>
      </c>
      <c r="E31" s="23">
        <f t="shared" si="18"/>
        <v>12014960.92</v>
      </c>
      <c r="F31" s="23">
        <f t="shared" si="18"/>
        <v>11856168.949999999</v>
      </c>
      <c r="G31" s="23">
        <f t="shared" si="18"/>
        <v>18694788.040000003</v>
      </c>
      <c r="H31" s="23">
        <f t="shared" si="18"/>
        <v>15307894.93</v>
      </c>
      <c r="I31" s="23">
        <f t="shared" ref="I31:K31" si="19">SUM(I32:I40)</f>
        <v>19795176.600000001</v>
      </c>
      <c r="J31" s="23">
        <f t="shared" si="19"/>
        <v>19212946.150000002</v>
      </c>
      <c r="K31" s="23">
        <f t="shared" si="19"/>
        <v>18222010.220000003</v>
      </c>
      <c r="L31" s="23">
        <f t="shared" si="18"/>
        <v>19185761.359999999</v>
      </c>
      <c r="M31" s="23">
        <f t="shared" ref="M31:U31" si="20">SUM(M32:M40)</f>
        <v>0</v>
      </c>
      <c r="N31" s="23">
        <f t="shared" si="20"/>
        <v>0</v>
      </c>
      <c r="O31" s="23">
        <f t="shared" si="20"/>
        <v>0</v>
      </c>
      <c r="P31" s="23">
        <f t="shared" si="20"/>
        <v>0</v>
      </c>
      <c r="Q31" s="23">
        <f t="shared" si="20"/>
        <v>0</v>
      </c>
      <c r="R31" s="23">
        <f t="shared" si="20"/>
        <v>0</v>
      </c>
      <c r="S31" s="23">
        <f t="shared" si="20"/>
        <v>0</v>
      </c>
      <c r="T31" s="23">
        <f t="shared" si="20"/>
        <v>0</v>
      </c>
      <c r="U31" s="23">
        <f t="shared" si="20"/>
        <v>0</v>
      </c>
      <c r="V31" s="76">
        <f>SUM(E31:U31)</f>
        <v>134289707.17000002</v>
      </c>
      <c r="W31" s="14"/>
      <c r="X31" s="14"/>
    </row>
    <row r="32" spans="1:24" x14ac:dyDescent="0.25">
      <c r="A32" s="15" t="s">
        <v>40</v>
      </c>
      <c r="B32" s="24">
        <v>68000000</v>
      </c>
      <c r="C32" s="24"/>
      <c r="D32" s="14">
        <f t="shared" ref="D32:D39" si="21">+B32-C32</f>
        <v>68000000</v>
      </c>
      <c r="E32" s="50">
        <v>968683.75</v>
      </c>
      <c r="F32" s="14">
        <v>632404.39</v>
      </c>
      <c r="G32" s="14">
        <v>2530527.02</v>
      </c>
      <c r="H32" s="14">
        <v>1846745.61</v>
      </c>
      <c r="I32" s="14">
        <v>3160728.81</v>
      </c>
      <c r="J32" s="14">
        <v>2547652.9</v>
      </c>
      <c r="K32" s="14">
        <f>6416619.95+81000</f>
        <v>6497619.9500000002</v>
      </c>
      <c r="L32" s="14">
        <v>6442858.9500000002</v>
      </c>
      <c r="M32" s="14"/>
      <c r="N32" s="14"/>
      <c r="O32" s="14"/>
      <c r="P32" s="14"/>
      <c r="Q32" s="14"/>
      <c r="R32" s="14"/>
      <c r="S32" s="14"/>
      <c r="U32" s="14"/>
      <c r="V32" s="3">
        <f t="shared" ref="V32:V40" si="22">SUM(E32:U32)</f>
        <v>24627221.379999999</v>
      </c>
      <c r="W32" s="14"/>
      <c r="X32" s="14"/>
    </row>
    <row r="33" spans="1:24" x14ac:dyDescent="0.25">
      <c r="A33" s="15" t="s">
        <v>41</v>
      </c>
      <c r="B33" s="24">
        <v>2300000</v>
      </c>
      <c r="C33" s="24"/>
      <c r="D33" s="14">
        <f t="shared" si="21"/>
        <v>2300000</v>
      </c>
      <c r="F33" s="14"/>
      <c r="G33" s="14">
        <v>1232227.27</v>
      </c>
      <c r="H33" s="14"/>
      <c r="I33" s="14"/>
      <c r="J33" s="14">
        <v>114968.84</v>
      </c>
      <c r="K33" s="14"/>
      <c r="L33" s="14">
        <v>13360</v>
      </c>
      <c r="M33" s="14"/>
      <c r="N33" s="14"/>
      <c r="O33" s="14"/>
      <c r="P33" s="14"/>
      <c r="Q33" s="14"/>
      <c r="R33" s="14"/>
      <c r="S33" s="14"/>
      <c r="U33" s="14"/>
      <c r="V33" s="3">
        <f t="shared" si="22"/>
        <v>1360556.11</v>
      </c>
      <c r="W33" s="14"/>
      <c r="X33" s="14"/>
    </row>
    <row r="34" spans="1:24" x14ac:dyDescent="0.25">
      <c r="A34" s="15" t="s">
        <v>42</v>
      </c>
      <c r="B34" s="24">
        <v>13523000</v>
      </c>
      <c r="C34" s="24"/>
      <c r="D34" s="14">
        <f t="shared" si="21"/>
        <v>13523000</v>
      </c>
      <c r="E34" s="50">
        <v>98062.720000000001</v>
      </c>
      <c r="F34" s="14">
        <v>138134</v>
      </c>
      <c r="G34" s="14">
        <v>3449724.19</v>
      </c>
      <c r="H34" s="14">
        <v>2384278.62</v>
      </c>
      <c r="I34" s="14">
        <v>1859713.09</v>
      </c>
      <c r="J34" s="14">
        <v>3027100.5</v>
      </c>
      <c r="K34" s="14">
        <v>297084.99</v>
      </c>
      <c r="L34" s="14">
        <v>1086784.6100000001</v>
      </c>
      <c r="M34" s="14"/>
      <c r="N34" s="14"/>
      <c r="O34" s="14"/>
      <c r="P34" s="14"/>
      <c r="Q34" s="14"/>
      <c r="R34" s="14"/>
      <c r="S34" s="14"/>
      <c r="U34" s="14"/>
      <c r="V34" s="3">
        <f t="shared" si="22"/>
        <v>12340882.720000001</v>
      </c>
      <c r="W34" s="14"/>
      <c r="X34" s="14"/>
    </row>
    <row r="35" spans="1:24" x14ac:dyDescent="0.25">
      <c r="A35" s="15" t="s">
        <v>43</v>
      </c>
      <c r="B35" s="24">
        <v>5000000</v>
      </c>
      <c r="C35" s="24"/>
      <c r="D35" s="14">
        <f t="shared" si="21"/>
        <v>5000000</v>
      </c>
      <c r="E35" s="50">
        <v>894.4</v>
      </c>
      <c r="F35" s="14"/>
      <c r="G35" s="14"/>
      <c r="H35" s="14">
        <v>5409.12</v>
      </c>
      <c r="I35" s="14">
        <v>714856.17</v>
      </c>
      <c r="J35" s="14"/>
      <c r="K35" s="14"/>
      <c r="L35" s="14"/>
      <c r="M35" s="14"/>
      <c r="N35" s="14"/>
      <c r="O35" s="14"/>
      <c r="P35" s="14"/>
      <c r="Q35" s="14"/>
      <c r="R35" s="14"/>
      <c r="S35" s="14"/>
      <c r="U35" s="14"/>
      <c r="V35" s="3">
        <f>SUM(E35:U35)</f>
        <v>721159.69000000006</v>
      </c>
      <c r="W35" s="14"/>
      <c r="X35" s="14"/>
    </row>
    <row r="36" spans="1:24" x14ac:dyDescent="0.25">
      <c r="A36" s="15" t="s">
        <v>44</v>
      </c>
      <c r="B36" s="24">
        <v>10600000</v>
      </c>
      <c r="C36" s="24"/>
      <c r="D36" s="14">
        <f t="shared" si="21"/>
        <v>10600000</v>
      </c>
      <c r="E36" s="50">
        <v>991740.09</v>
      </c>
      <c r="F36" s="14">
        <v>250395.37</v>
      </c>
      <c r="G36" s="14">
        <v>293032.28999999998</v>
      </c>
      <c r="H36" s="14">
        <v>380428.58</v>
      </c>
      <c r="I36" s="14">
        <v>909718.39</v>
      </c>
      <c r="J36" s="14">
        <v>647786.37</v>
      </c>
      <c r="K36" s="14">
        <v>761210.29</v>
      </c>
      <c r="L36" s="14">
        <v>458432.85</v>
      </c>
      <c r="M36" s="14"/>
      <c r="N36" s="14"/>
      <c r="O36" s="14"/>
      <c r="P36" s="14"/>
      <c r="Q36" s="14"/>
      <c r="R36" s="14"/>
      <c r="S36" s="14"/>
      <c r="U36" s="14"/>
      <c r="V36" s="3">
        <f t="shared" si="22"/>
        <v>4692744.2300000004</v>
      </c>
      <c r="W36" s="14"/>
      <c r="X36" s="14"/>
    </row>
    <row r="37" spans="1:24" x14ac:dyDescent="0.25">
      <c r="A37" s="15" t="s">
        <v>45</v>
      </c>
      <c r="B37" s="24">
        <v>1730747</v>
      </c>
      <c r="C37" s="24"/>
      <c r="D37" s="14">
        <f t="shared" si="21"/>
        <v>1730747</v>
      </c>
      <c r="E37" s="50">
        <v>287101.82</v>
      </c>
      <c r="F37" s="14">
        <v>107576.14</v>
      </c>
      <c r="G37" s="14">
        <v>211274.07</v>
      </c>
      <c r="H37" s="14">
        <v>6570.24</v>
      </c>
      <c r="I37" s="14">
        <v>150376.29999999999</v>
      </c>
      <c r="J37" s="14">
        <v>390481.44</v>
      </c>
      <c r="K37" s="14">
        <v>57152.01</v>
      </c>
      <c r="L37" s="14">
        <v>36904.370000000003</v>
      </c>
      <c r="M37" s="14"/>
      <c r="N37" s="14"/>
      <c r="O37" s="14"/>
      <c r="P37" s="14"/>
      <c r="Q37" s="14"/>
      <c r="R37" s="14"/>
      <c r="S37" s="14"/>
      <c r="U37" s="14"/>
      <c r="V37" s="3">
        <f>SUM(E37:U37)</f>
        <v>1247436.3900000001</v>
      </c>
      <c r="W37" s="14"/>
      <c r="X37" s="14"/>
    </row>
    <row r="38" spans="1:24" x14ac:dyDescent="0.25">
      <c r="A38" s="15" t="s">
        <v>46</v>
      </c>
      <c r="B38" s="24">
        <v>114510750</v>
      </c>
      <c r="C38" s="24">
        <v>-364000</v>
      </c>
      <c r="D38" s="14">
        <f>+B38+C38</f>
        <v>114146750</v>
      </c>
      <c r="E38" s="50">
        <v>9366477.8900000006</v>
      </c>
      <c r="F38" s="14">
        <v>9203824.0999999996</v>
      </c>
      <c r="G38" s="14">
        <v>8800190.5099999998</v>
      </c>
      <c r="H38" s="14">
        <v>9019739.3499999996</v>
      </c>
      <c r="I38" s="14">
        <v>9039940.6300000008</v>
      </c>
      <c r="J38" s="14">
        <v>9198588</v>
      </c>
      <c r="K38" s="14">
        <v>9367059</v>
      </c>
      <c r="L38" s="14">
        <v>9376664.9900000002</v>
      </c>
      <c r="M38" s="14"/>
      <c r="N38" s="14"/>
      <c r="O38" s="14"/>
      <c r="P38" s="14"/>
      <c r="Q38" s="14"/>
      <c r="R38" s="14"/>
      <c r="S38" s="14"/>
      <c r="U38" s="14"/>
      <c r="V38" s="3">
        <f>SUM(E38:U38)</f>
        <v>73372484.469999999</v>
      </c>
      <c r="W38" s="14"/>
      <c r="X38" s="14"/>
    </row>
    <row r="39" spans="1:24" ht="30" x14ac:dyDescent="0.25">
      <c r="A39" s="20" t="s">
        <v>47</v>
      </c>
      <c r="B39" s="24">
        <v>0</v>
      </c>
      <c r="C39" s="24"/>
      <c r="D39" s="14">
        <f t="shared" si="21"/>
        <v>0</v>
      </c>
      <c r="E39" s="14"/>
      <c r="F39" s="14"/>
      <c r="G39" s="14"/>
      <c r="H39" s="14"/>
      <c r="I39" s="14"/>
      <c r="J39" s="14"/>
      <c r="K39" s="14"/>
      <c r="L39" s="14">
        <v>0</v>
      </c>
      <c r="M39" s="14"/>
      <c r="N39" s="14"/>
      <c r="O39" s="14"/>
      <c r="P39" s="14"/>
      <c r="Q39" s="14"/>
      <c r="R39" s="14"/>
      <c r="S39" s="14"/>
      <c r="U39" s="14"/>
      <c r="V39" s="3">
        <f t="shared" si="22"/>
        <v>0</v>
      </c>
      <c r="W39" s="14"/>
      <c r="X39" s="14"/>
    </row>
    <row r="40" spans="1:24" x14ac:dyDescent="0.25">
      <c r="A40" s="15" t="s">
        <v>48</v>
      </c>
      <c r="B40" s="24">
        <v>25600000</v>
      </c>
      <c r="C40" s="24"/>
      <c r="D40" s="14">
        <f>+B40+C40</f>
        <v>25600000</v>
      </c>
      <c r="E40" s="14">
        <v>302000.25</v>
      </c>
      <c r="F40" s="14">
        <v>1523834.95</v>
      </c>
      <c r="G40" s="14">
        <v>2177812.69</v>
      </c>
      <c r="H40" s="14">
        <v>1664723.41</v>
      </c>
      <c r="I40" s="14">
        <v>3959843.21</v>
      </c>
      <c r="J40" s="14">
        <v>3286368.1</v>
      </c>
      <c r="K40" s="14">
        <v>1241883.98</v>
      </c>
      <c r="L40" s="14">
        <v>1770755.59</v>
      </c>
      <c r="M40" s="14"/>
      <c r="N40" s="14"/>
      <c r="O40" s="14"/>
      <c r="P40" s="14"/>
      <c r="Q40" s="14"/>
      <c r="R40" s="14"/>
      <c r="S40" s="14"/>
      <c r="U40" s="14"/>
      <c r="V40" s="3">
        <f t="shared" si="22"/>
        <v>15927222.18</v>
      </c>
      <c r="W40" s="14"/>
      <c r="X40" s="14"/>
    </row>
    <row r="41" spans="1:24" x14ac:dyDescent="0.25">
      <c r="A41" s="12" t="s">
        <v>49</v>
      </c>
      <c r="B41" s="23">
        <f>SUM(B42:B49)</f>
        <v>598300490</v>
      </c>
      <c r="C41" s="23">
        <f>SUM(C42:C49)</f>
        <v>-43460000</v>
      </c>
      <c r="D41" s="23">
        <f>SUM(D42:D49)</f>
        <v>554840490</v>
      </c>
      <c r="E41" s="23">
        <f t="shared" ref="E41:N41" si="23">SUM(E42:E49)</f>
        <v>36826334.399999999</v>
      </c>
      <c r="F41" s="23">
        <f t="shared" ref="F41:L41" si="24">SUM(F42:F49)</f>
        <v>38035203.409999996</v>
      </c>
      <c r="G41" s="23">
        <f t="shared" si="24"/>
        <v>40496471.810000002</v>
      </c>
      <c r="H41" s="23">
        <f t="shared" si="24"/>
        <v>40196230.329999998</v>
      </c>
      <c r="I41" s="23">
        <f t="shared" si="24"/>
        <v>39006255.119999997</v>
      </c>
      <c r="J41" s="23">
        <f>+J42</f>
        <v>39364466.079999998</v>
      </c>
      <c r="K41" s="23">
        <f t="shared" ref="K41" si="25">SUM(K42:K49)</f>
        <v>40125204.329999998</v>
      </c>
      <c r="L41" s="23">
        <f t="shared" si="24"/>
        <v>38129817.740000002</v>
      </c>
      <c r="M41" s="23">
        <f t="shared" si="23"/>
        <v>0</v>
      </c>
      <c r="N41" s="23">
        <f t="shared" si="23"/>
        <v>0</v>
      </c>
      <c r="O41" s="23">
        <f>SUM(O42:O49)</f>
        <v>0</v>
      </c>
      <c r="P41" s="23">
        <f>SUM(P42:P49)</f>
        <v>0</v>
      </c>
      <c r="Q41" s="23">
        <f>SUM(Q42:Q49)</f>
        <v>0</v>
      </c>
      <c r="R41" s="23">
        <f>SUM(R42:R49)</f>
        <v>0</v>
      </c>
      <c r="S41" s="23">
        <f>SUM(S42:S49)</f>
        <v>0</v>
      </c>
      <c r="T41" s="23">
        <f t="shared" ref="T41" si="26">SUM(T42:T49)</f>
        <v>0</v>
      </c>
      <c r="U41" s="23">
        <f>SUM(U42:U49)</f>
        <v>0</v>
      </c>
      <c r="V41" s="76">
        <f>SUM(E41:U41)</f>
        <v>312179983.21999997</v>
      </c>
      <c r="W41" s="14"/>
      <c r="X41" s="14"/>
    </row>
    <row r="42" spans="1:24" x14ac:dyDescent="0.25">
      <c r="A42" s="15" t="s">
        <v>50</v>
      </c>
      <c r="B42" s="24">
        <v>598300490</v>
      </c>
      <c r="C42" s="24">
        <v>-43460000</v>
      </c>
      <c r="D42" s="14">
        <f>+B42+C42</f>
        <v>554840490</v>
      </c>
      <c r="E42" s="50">
        <v>36826334.399999999</v>
      </c>
      <c r="F42" s="14">
        <v>36526503.409999996</v>
      </c>
      <c r="G42" s="14">
        <v>40496471.810000002</v>
      </c>
      <c r="H42" s="14">
        <v>40196230.329999998</v>
      </c>
      <c r="I42" s="14">
        <v>38689055.119999997</v>
      </c>
      <c r="J42" s="14">
        <v>39364466.079999998</v>
      </c>
      <c r="K42" s="14">
        <v>40125204.329999998</v>
      </c>
      <c r="L42" s="14">
        <v>38129817.740000002</v>
      </c>
      <c r="M42" s="14"/>
      <c r="N42" s="14"/>
      <c r="O42" s="14"/>
      <c r="P42" s="14"/>
      <c r="Q42" s="14"/>
      <c r="R42" s="14"/>
      <c r="S42" s="14"/>
      <c r="U42" s="14"/>
      <c r="V42" s="3">
        <f>SUM(E42:U42)</f>
        <v>310354083.21999997</v>
      </c>
      <c r="W42" s="14"/>
      <c r="X42" s="14"/>
    </row>
    <row r="43" spans="1:24" x14ac:dyDescent="0.25">
      <c r="A43" s="15" t="s">
        <v>51</v>
      </c>
      <c r="B43" s="24"/>
      <c r="C43" s="24"/>
      <c r="D43" s="14">
        <f t="shared" ref="D42:D49" si="27">+B43-C43</f>
        <v>0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U43" s="14"/>
      <c r="V43" s="14"/>
      <c r="W43" s="14"/>
      <c r="X43" s="14"/>
    </row>
    <row r="44" spans="1:24" x14ac:dyDescent="0.25">
      <c r="A44" s="15" t="s">
        <v>52</v>
      </c>
      <c r="B44" s="14"/>
      <c r="C44" s="14"/>
      <c r="D44" s="14">
        <f t="shared" si="27"/>
        <v>0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U44" s="14"/>
      <c r="V44" s="14"/>
      <c r="W44" s="14"/>
      <c r="X44" s="14"/>
    </row>
    <row r="45" spans="1:24" x14ac:dyDescent="0.25">
      <c r="A45" s="15" t="s">
        <v>53</v>
      </c>
      <c r="B45" s="14"/>
      <c r="C45" s="14"/>
      <c r="D45" s="14">
        <f t="shared" si="27"/>
        <v>0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U45" s="14"/>
      <c r="V45" s="14"/>
      <c r="W45" s="14"/>
      <c r="X45" s="14"/>
    </row>
    <row r="46" spans="1:24" x14ac:dyDescent="0.25">
      <c r="A46" s="15" t="s">
        <v>54</v>
      </c>
      <c r="B46" s="14"/>
      <c r="C46" s="14"/>
      <c r="D46" s="14">
        <f t="shared" si="27"/>
        <v>0</v>
      </c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U46" s="14"/>
      <c r="V46" s="14"/>
      <c r="W46" s="14"/>
      <c r="X46" s="14"/>
    </row>
    <row r="47" spans="1:24" x14ac:dyDescent="0.25">
      <c r="A47" s="15" t="s">
        <v>55</v>
      </c>
      <c r="B47" s="14"/>
      <c r="C47" s="14"/>
      <c r="D47" s="14">
        <f t="shared" si="27"/>
        <v>0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U47" s="14"/>
      <c r="V47" s="14"/>
      <c r="W47" s="14"/>
      <c r="X47" s="14"/>
    </row>
    <row r="48" spans="1:24" x14ac:dyDescent="0.25">
      <c r="A48" s="15" t="s">
        <v>56</v>
      </c>
      <c r="B48" s="24"/>
      <c r="C48" s="24"/>
      <c r="D48" s="14">
        <f t="shared" si="27"/>
        <v>0</v>
      </c>
      <c r="E48" s="14">
        <v>0</v>
      </c>
      <c r="F48" s="3">
        <v>1508700</v>
      </c>
      <c r="G48" s="14">
        <v>0</v>
      </c>
      <c r="H48" s="14">
        <v>0</v>
      </c>
      <c r="I48" s="14">
        <v>317200</v>
      </c>
      <c r="J48" s="14"/>
      <c r="K48" s="14"/>
      <c r="L48" s="14"/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/>
      <c r="U48" s="14">
        <v>0</v>
      </c>
      <c r="V48" s="3">
        <f>SUM(E48:U48)</f>
        <v>1825900</v>
      </c>
      <c r="W48" s="14"/>
      <c r="X48" s="14"/>
    </row>
    <row r="49" spans="1:24" x14ac:dyDescent="0.25">
      <c r="A49" s="15" t="s">
        <v>57</v>
      </c>
      <c r="B49" s="14"/>
      <c r="C49" s="14"/>
      <c r="D49" s="14">
        <f t="shared" si="27"/>
        <v>0</v>
      </c>
      <c r="E49" s="50"/>
      <c r="F49" s="14"/>
      <c r="G49" s="14">
        <v>0</v>
      </c>
      <c r="H49" s="14">
        <v>0</v>
      </c>
      <c r="I49" s="14">
        <v>0</v>
      </c>
      <c r="K49" s="14"/>
      <c r="L49" s="14"/>
      <c r="M49" s="14"/>
      <c r="N49" s="14"/>
      <c r="O49" s="14"/>
      <c r="P49" s="14"/>
      <c r="Q49" s="14"/>
      <c r="R49" s="14"/>
      <c r="S49" s="14"/>
      <c r="U49" s="14"/>
      <c r="V49" s="14"/>
      <c r="W49" s="14"/>
      <c r="X49" s="14"/>
    </row>
    <row r="50" spans="1:24" x14ac:dyDescent="0.25">
      <c r="A50" s="12" t="s">
        <v>58</v>
      </c>
      <c r="B50" s="23">
        <f>SUM(B51:B56)</f>
        <v>0</v>
      </c>
      <c r="C50" s="23">
        <f>SUM(C51:C56)</f>
        <v>0</v>
      </c>
      <c r="D50" s="23">
        <f t="shared" ref="D50:D56" si="28">+B50</f>
        <v>0</v>
      </c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U50" s="14"/>
      <c r="V50" s="76">
        <f>SUM(E50:U50)</f>
        <v>0</v>
      </c>
      <c r="W50" s="14"/>
      <c r="X50" s="14"/>
    </row>
    <row r="51" spans="1:24" x14ac:dyDescent="0.25">
      <c r="A51" s="15" t="s">
        <v>59</v>
      </c>
      <c r="B51" s="14">
        <v>0</v>
      </c>
      <c r="C51" s="14"/>
      <c r="D51" s="14">
        <f t="shared" si="28"/>
        <v>0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U51" s="14"/>
      <c r="V51" s="14"/>
      <c r="W51" s="14"/>
      <c r="X51" s="14"/>
    </row>
    <row r="52" spans="1:24" x14ac:dyDescent="0.25">
      <c r="A52" s="15" t="s">
        <v>60</v>
      </c>
      <c r="B52" s="14">
        <v>0</v>
      </c>
      <c r="C52" s="14"/>
      <c r="D52" s="14">
        <f t="shared" si="28"/>
        <v>0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U52" s="14"/>
      <c r="V52" s="14"/>
      <c r="W52" s="14"/>
      <c r="X52" s="14"/>
    </row>
    <row r="53" spans="1:24" x14ac:dyDescent="0.25">
      <c r="A53" s="15" t="s">
        <v>61</v>
      </c>
      <c r="B53" s="14">
        <v>0</v>
      </c>
      <c r="C53" s="14"/>
      <c r="D53" s="14">
        <f t="shared" si="28"/>
        <v>0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U53" s="14"/>
      <c r="V53" s="14"/>
      <c r="W53" s="14"/>
      <c r="X53" s="14"/>
    </row>
    <row r="54" spans="1:24" x14ac:dyDescent="0.25">
      <c r="A54" s="15" t="s">
        <v>62</v>
      </c>
      <c r="B54" s="14">
        <v>0</v>
      </c>
      <c r="C54" s="14"/>
      <c r="D54" s="14">
        <f t="shared" si="28"/>
        <v>0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U54" s="14"/>
      <c r="V54" s="14"/>
      <c r="W54" s="14"/>
      <c r="X54" s="14"/>
    </row>
    <row r="55" spans="1:24" x14ac:dyDescent="0.25">
      <c r="A55" s="15" t="s">
        <v>63</v>
      </c>
      <c r="B55" s="14">
        <v>0</v>
      </c>
      <c r="C55" s="14"/>
      <c r="D55" s="14">
        <f t="shared" si="28"/>
        <v>0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U55" s="14"/>
      <c r="V55" s="14"/>
      <c r="W55" s="14"/>
      <c r="X55" s="14"/>
    </row>
    <row r="56" spans="1:24" x14ac:dyDescent="0.25">
      <c r="A56" s="15" t="s">
        <v>64</v>
      </c>
      <c r="B56" s="14">
        <v>0</v>
      </c>
      <c r="C56" s="14"/>
      <c r="D56" s="14">
        <f t="shared" si="28"/>
        <v>0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U56" s="14"/>
      <c r="V56" s="14"/>
      <c r="W56" s="14"/>
      <c r="X56" s="14"/>
    </row>
    <row r="57" spans="1:24" x14ac:dyDescent="0.25">
      <c r="A57" s="12" t="s">
        <v>65</v>
      </c>
      <c r="B57" s="23">
        <f>SUM(B58:B66)</f>
        <v>214805200</v>
      </c>
      <c r="C57" s="23">
        <f>SUM(C58:C66)</f>
        <v>-27566472</v>
      </c>
      <c r="D57" s="23">
        <f>SUM(D58:D66)</f>
        <v>187238728</v>
      </c>
      <c r="E57" s="23">
        <f t="shared" ref="E57:W57" si="29">SUM(E58:E66)</f>
        <v>635307.28</v>
      </c>
      <c r="F57" s="23">
        <f t="shared" si="29"/>
        <v>944883.17</v>
      </c>
      <c r="G57" s="23">
        <f t="shared" ref="G57:K57" si="30">SUM(G58:G66)</f>
        <v>872718.67</v>
      </c>
      <c r="H57" s="23">
        <f t="shared" si="30"/>
        <v>259718</v>
      </c>
      <c r="I57" s="23">
        <f t="shared" si="30"/>
        <v>5989319.4500000002</v>
      </c>
      <c r="J57" s="23">
        <f t="shared" si="30"/>
        <v>4071216.8</v>
      </c>
      <c r="K57" s="23">
        <f t="shared" si="30"/>
        <v>76856230.450000003</v>
      </c>
      <c r="L57" s="23">
        <f t="shared" si="29"/>
        <v>97464398.769999996</v>
      </c>
      <c r="M57" s="23">
        <f t="shared" si="29"/>
        <v>0</v>
      </c>
      <c r="N57" s="23">
        <f t="shared" si="29"/>
        <v>0</v>
      </c>
      <c r="O57" s="23">
        <f t="shared" si="29"/>
        <v>0</v>
      </c>
      <c r="P57" s="23">
        <f t="shared" si="29"/>
        <v>0</v>
      </c>
      <c r="Q57" s="23">
        <f t="shared" si="29"/>
        <v>0</v>
      </c>
      <c r="R57" s="23">
        <f t="shared" si="29"/>
        <v>0</v>
      </c>
      <c r="S57" s="23">
        <f t="shared" si="29"/>
        <v>0</v>
      </c>
      <c r="T57" s="23">
        <f t="shared" si="29"/>
        <v>0</v>
      </c>
      <c r="U57" s="23">
        <f t="shared" si="29"/>
        <v>0</v>
      </c>
      <c r="V57" s="76">
        <f>SUM(E57:U57)</f>
        <v>187093792.59</v>
      </c>
      <c r="W57" s="23"/>
      <c r="X57" s="14"/>
    </row>
    <row r="58" spans="1:24" x14ac:dyDescent="0.25">
      <c r="A58" s="15" t="s">
        <v>66</v>
      </c>
      <c r="B58" s="24">
        <v>115000000</v>
      </c>
      <c r="C58" s="24">
        <v>11091921</v>
      </c>
      <c r="D58" s="14">
        <f t="shared" ref="D58:D63" si="31">+B58+C58</f>
        <v>126091921</v>
      </c>
      <c r="E58" s="50">
        <v>200123.28</v>
      </c>
      <c r="F58" s="14">
        <v>20160</v>
      </c>
      <c r="G58" s="14">
        <v>872718.67</v>
      </c>
      <c r="H58" s="14">
        <v>107498</v>
      </c>
      <c r="I58" s="14">
        <v>476938.3</v>
      </c>
      <c r="J58" s="14">
        <v>2749146.4</v>
      </c>
      <c r="K58" s="14">
        <v>75633937.609999999</v>
      </c>
      <c r="L58" s="14">
        <v>95384394.109999999</v>
      </c>
      <c r="M58" s="14"/>
      <c r="N58" s="14"/>
      <c r="O58" s="14"/>
      <c r="P58" s="14"/>
      <c r="Q58" s="14"/>
      <c r="R58" s="14"/>
      <c r="S58" s="14"/>
      <c r="U58" s="14"/>
      <c r="V58" s="3">
        <f>SUM(E58:U58)</f>
        <v>175444916.37</v>
      </c>
      <c r="W58" s="14"/>
      <c r="X58" s="14"/>
    </row>
    <row r="59" spans="1:24" x14ac:dyDescent="0.25">
      <c r="A59" s="15" t="s">
        <v>67</v>
      </c>
      <c r="B59" s="24">
        <v>5455200</v>
      </c>
      <c r="C59" s="24"/>
      <c r="D59" s="14">
        <f t="shared" si="31"/>
        <v>5455200</v>
      </c>
      <c r="E59" s="50">
        <v>435184</v>
      </c>
      <c r="F59" s="25">
        <v>924723.17</v>
      </c>
      <c r="G59" s="25"/>
      <c r="H59" s="25">
        <v>152220</v>
      </c>
      <c r="I59" s="25"/>
      <c r="J59" s="25">
        <v>251974.6</v>
      </c>
      <c r="K59" s="14">
        <v>0</v>
      </c>
      <c r="L59" s="14">
        <v>73797.5</v>
      </c>
      <c r="M59" s="25"/>
      <c r="N59" s="25"/>
      <c r="O59" s="25"/>
      <c r="P59" s="25"/>
      <c r="Q59" s="25"/>
      <c r="R59" s="25"/>
      <c r="S59" s="26"/>
      <c r="U59" s="26"/>
      <c r="V59" s="3">
        <f>SUM(E59:U59)</f>
        <v>1837899.27</v>
      </c>
      <c r="W59" s="14"/>
      <c r="X59" s="14"/>
    </row>
    <row r="60" spans="1:24" x14ac:dyDescent="0.25">
      <c r="A60" s="15" t="s">
        <v>68</v>
      </c>
      <c r="B60" s="24">
        <v>0</v>
      </c>
      <c r="C60" s="24"/>
      <c r="D60" s="14">
        <f t="shared" si="31"/>
        <v>0</v>
      </c>
      <c r="E60" s="14"/>
      <c r="F60" s="14"/>
      <c r="G60" s="14"/>
      <c r="H60" s="14"/>
      <c r="I60" s="14"/>
      <c r="J60" s="14"/>
      <c r="K60" s="14">
        <f t="shared" ref="K60:L63" si="32">+H60-I60</f>
        <v>0</v>
      </c>
      <c r="L60" s="14">
        <f t="shared" si="32"/>
        <v>0</v>
      </c>
      <c r="M60" s="14"/>
      <c r="N60" s="14"/>
      <c r="O60" s="14"/>
      <c r="P60" s="14"/>
      <c r="Q60" s="14"/>
      <c r="R60" s="14"/>
      <c r="S60" s="14"/>
      <c r="U60" s="14"/>
      <c r="V60" s="14"/>
      <c r="W60" s="14"/>
      <c r="X60" s="14"/>
    </row>
    <row r="61" spans="1:24" x14ac:dyDescent="0.25">
      <c r="A61" s="15" t="s">
        <v>69</v>
      </c>
      <c r="B61" s="24">
        <v>15500000</v>
      </c>
      <c r="C61" s="3">
        <v>-374999</v>
      </c>
      <c r="D61" s="14">
        <f t="shared" si="31"/>
        <v>15125001</v>
      </c>
      <c r="E61" s="14"/>
      <c r="F61" s="14"/>
      <c r="G61" s="14"/>
      <c r="H61" s="14"/>
      <c r="I61" s="14">
        <v>5500000</v>
      </c>
      <c r="J61" s="14"/>
      <c r="K61" s="14">
        <v>0</v>
      </c>
      <c r="L61" s="14">
        <v>0</v>
      </c>
      <c r="M61" s="14"/>
      <c r="N61" s="14"/>
      <c r="O61" s="14"/>
      <c r="P61" s="14"/>
      <c r="Q61" s="14"/>
      <c r="R61" s="14"/>
      <c r="S61" s="14"/>
      <c r="U61" s="14"/>
      <c r="V61" s="14"/>
      <c r="W61" s="14"/>
      <c r="X61" s="14"/>
    </row>
    <row r="62" spans="1:24" x14ac:dyDescent="0.25">
      <c r="A62" s="15" t="s">
        <v>70</v>
      </c>
      <c r="B62" s="24">
        <v>28100000</v>
      </c>
      <c r="C62" s="24">
        <v>-13950000</v>
      </c>
      <c r="D62" s="14">
        <f t="shared" si="31"/>
        <v>14150000</v>
      </c>
      <c r="E62" s="50"/>
      <c r="F62" s="27"/>
      <c r="G62" s="14"/>
      <c r="H62" s="14"/>
      <c r="I62" s="27">
        <v>12381.15</v>
      </c>
      <c r="J62" s="27">
        <v>1070095.8</v>
      </c>
      <c r="K62" s="14">
        <v>0</v>
      </c>
      <c r="L62" s="14">
        <v>0</v>
      </c>
      <c r="M62" s="27"/>
      <c r="N62" s="25"/>
      <c r="O62" s="25"/>
      <c r="P62" s="25"/>
      <c r="Q62" s="14"/>
      <c r="R62" s="14"/>
      <c r="S62" s="14"/>
      <c r="U62" s="14"/>
      <c r="V62" s="3">
        <f>SUM(E62:U62)</f>
        <v>1082476.95</v>
      </c>
      <c r="W62" s="14"/>
      <c r="X62" s="14"/>
    </row>
    <row r="63" spans="1:24" x14ac:dyDescent="0.25">
      <c r="A63" s="15" t="s">
        <v>71</v>
      </c>
      <c r="B63" s="24">
        <v>750000</v>
      </c>
      <c r="C63" s="24">
        <v>-562000</v>
      </c>
      <c r="D63" s="14">
        <f t="shared" si="31"/>
        <v>188000</v>
      </c>
      <c r="E63" s="14"/>
      <c r="F63" s="14"/>
      <c r="G63" s="14"/>
      <c r="H63" s="14"/>
      <c r="I63" s="14"/>
      <c r="J63" s="14"/>
      <c r="K63" s="14">
        <f t="shared" si="32"/>
        <v>0</v>
      </c>
      <c r="L63" s="14">
        <f t="shared" si="32"/>
        <v>0</v>
      </c>
      <c r="M63" s="14"/>
      <c r="N63" s="14"/>
      <c r="O63" s="14"/>
      <c r="P63" s="14"/>
      <c r="Q63" s="14"/>
      <c r="R63" s="14"/>
      <c r="S63" s="14"/>
      <c r="U63" s="14"/>
      <c r="V63" s="14"/>
      <c r="W63" s="14"/>
      <c r="X63" s="14"/>
    </row>
    <row r="64" spans="1:24" x14ac:dyDescent="0.25">
      <c r="A64" s="15" t="s">
        <v>72</v>
      </c>
      <c r="B64" s="24"/>
      <c r="C64" s="24"/>
      <c r="D64" s="14">
        <f t="shared" ref="D58:D66" si="33">+B64-C64</f>
        <v>0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U64" s="14"/>
      <c r="V64" s="14"/>
      <c r="W64" s="14"/>
      <c r="X64" s="14"/>
    </row>
    <row r="65" spans="1:24" x14ac:dyDescent="0.25">
      <c r="A65" s="15" t="s">
        <v>73</v>
      </c>
      <c r="B65" s="24">
        <v>0</v>
      </c>
      <c r="C65" s="24"/>
      <c r="D65" s="14">
        <f t="shared" si="33"/>
        <v>0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U65" s="14"/>
      <c r="V65" s="14"/>
      <c r="W65" s="14"/>
      <c r="X65" s="14"/>
    </row>
    <row r="66" spans="1:24" x14ac:dyDescent="0.25">
      <c r="A66" s="15" t="s">
        <v>74</v>
      </c>
      <c r="B66" s="24">
        <v>50000000</v>
      </c>
      <c r="C66" s="24">
        <v>-23771394</v>
      </c>
      <c r="D66" s="14">
        <f>+B66+C66</f>
        <v>26228606</v>
      </c>
      <c r="E66" s="14"/>
      <c r="F66" s="14"/>
      <c r="G66" s="14"/>
      <c r="H66" s="14"/>
      <c r="I66" s="14"/>
      <c r="J66" s="14"/>
      <c r="K66" s="14">
        <v>1222292.8400000001</v>
      </c>
      <c r="L66" s="14">
        <v>2006207.16</v>
      </c>
      <c r="M66" s="14"/>
      <c r="N66" s="14"/>
      <c r="O66" s="14"/>
      <c r="P66" s="14"/>
      <c r="Q66" s="14"/>
      <c r="R66" s="14"/>
      <c r="S66" s="14"/>
      <c r="U66" s="14"/>
      <c r="V66" s="14"/>
      <c r="W66" s="14"/>
      <c r="X66" s="14"/>
    </row>
    <row r="67" spans="1:24" x14ac:dyDescent="0.25">
      <c r="A67" s="12" t="s">
        <v>75</v>
      </c>
      <c r="B67" s="23">
        <f>SUM(B68:B71)</f>
        <v>1000000</v>
      </c>
      <c r="C67" s="23">
        <f>SUM(C68:C71)</f>
        <v>0</v>
      </c>
      <c r="D67" s="23">
        <f>SUM(D68:D71)</f>
        <v>1000000</v>
      </c>
      <c r="E67" s="23">
        <f t="shared" ref="E67:U67" si="34">SUM(E68:E71)</f>
        <v>0</v>
      </c>
      <c r="F67" s="23">
        <f t="shared" si="34"/>
        <v>0</v>
      </c>
      <c r="G67" s="23">
        <f t="shared" ref="G67:K67" si="35">SUM(G68:G71)</f>
        <v>0</v>
      </c>
      <c r="H67" s="23">
        <f t="shared" si="35"/>
        <v>0</v>
      </c>
      <c r="I67" s="23">
        <f t="shared" si="35"/>
        <v>676400</v>
      </c>
      <c r="J67" s="23">
        <f t="shared" si="35"/>
        <v>0</v>
      </c>
      <c r="K67" s="23">
        <f t="shared" si="35"/>
        <v>0</v>
      </c>
      <c r="L67" s="23">
        <f t="shared" si="34"/>
        <v>0</v>
      </c>
      <c r="M67" s="23">
        <f t="shared" si="34"/>
        <v>0</v>
      </c>
      <c r="N67" s="23">
        <f t="shared" si="34"/>
        <v>0</v>
      </c>
      <c r="O67" s="23">
        <f>SUM(O68:O71)</f>
        <v>0</v>
      </c>
      <c r="P67" s="23">
        <f>SUM(P68:P71)</f>
        <v>0</v>
      </c>
      <c r="Q67" s="23">
        <f>SUM(Q68:Q71)</f>
        <v>0</v>
      </c>
      <c r="R67" s="23">
        <f>SUM(R68:R71)</f>
        <v>0</v>
      </c>
      <c r="S67" s="23">
        <f>SUM(S68:S71)</f>
        <v>0</v>
      </c>
      <c r="U67" s="23">
        <f t="shared" si="34"/>
        <v>0</v>
      </c>
      <c r="V67" s="76">
        <f>SUM(E67:U67)</f>
        <v>676400</v>
      </c>
      <c r="W67" s="14"/>
      <c r="X67" s="14"/>
    </row>
    <row r="68" spans="1:24" x14ac:dyDescent="0.25">
      <c r="A68" s="15" t="s">
        <v>76</v>
      </c>
      <c r="B68" s="24">
        <v>0</v>
      </c>
      <c r="C68" s="24"/>
      <c r="D68" s="14">
        <f t="shared" ref="D68:D71" si="36">+B68-C68</f>
        <v>0</v>
      </c>
      <c r="E68" s="14"/>
      <c r="F68" s="14"/>
      <c r="G68" s="14"/>
      <c r="H68" s="14"/>
      <c r="I68" s="14">
        <v>676400</v>
      </c>
      <c r="J68" s="14"/>
      <c r="K68" s="14"/>
      <c r="L68" s="14"/>
      <c r="M68" s="14"/>
      <c r="N68" s="14"/>
      <c r="O68" s="14"/>
      <c r="P68" s="14"/>
      <c r="Q68" s="14"/>
      <c r="R68" s="14"/>
      <c r="S68" s="14"/>
      <c r="U68" s="14"/>
      <c r="V68" s="14"/>
      <c r="W68" s="14"/>
      <c r="X68" s="14"/>
    </row>
    <row r="69" spans="1:24" x14ac:dyDescent="0.25">
      <c r="A69" s="15" t="s">
        <v>77</v>
      </c>
      <c r="B69" s="24">
        <v>1000000</v>
      </c>
      <c r="C69" s="24"/>
      <c r="D69" s="14">
        <f t="shared" si="36"/>
        <v>1000000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U69" s="14"/>
      <c r="V69" s="14"/>
      <c r="W69" s="14"/>
      <c r="X69" s="14"/>
    </row>
    <row r="70" spans="1:24" x14ac:dyDescent="0.25">
      <c r="A70" s="15" t="s">
        <v>78</v>
      </c>
      <c r="B70" s="14"/>
      <c r="C70" s="14"/>
      <c r="D70" s="14">
        <f t="shared" si="36"/>
        <v>0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U70" s="14"/>
      <c r="V70" s="14"/>
      <c r="W70" s="14"/>
      <c r="X70" s="14"/>
    </row>
    <row r="71" spans="1:24" ht="30" x14ac:dyDescent="0.25">
      <c r="A71" s="20" t="s">
        <v>79</v>
      </c>
      <c r="B71" s="14"/>
      <c r="C71" s="14"/>
      <c r="D71" s="14">
        <f t="shared" si="36"/>
        <v>0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U71" s="14"/>
      <c r="V71" s="14"/>
      <c r="W71" s="14"/>
      <c r="X71" s="14"/>
    </row>
    <row r="72" spans="1:24" x14ac:dyDescent="0.25">
      <c r="A72" s="12" t="s">
        <v>80</v>
      </c>
      <c r="B72" s="23">
        <f>SUM(B73:B74)</f>
        <v>0</v>
      </c>
      <c r="C72" s="23"/>
      <c r="D72" s="23">
        <f t="shared" ref="D72:U72" si="37">SUM(D73:D74)</f>
        <v>0</v>
      </c>
      <c r="E72" s="23">
        <f t="shared" si="37"/>
        <v>1073528693.26</v>
      </c>
      <c r="F72" s="23">
        <f t="shared" si="37"/>
        <v>0</v>
      </c>
      <c r="G72" s="23">
        <f t="shared" ref="G72:K72" si="38">SUM(G73:G74)</f>
        <v>100000000</v>
      </c>
      <c r="H72" s="23">
        <f t="shared" si="38"/>
        <v>0</v>
      </c>
      <c r="I72" s="23">
        <f t="shared" si="38"/>
        <v>0</v>
      </c>
      <c r="J72" s="23">
        <f t="shared" si="38"/>
        <v>0</v>
      </c>
      <c r="K72" s="23">
        <f t="shared" si="38"/>
        <v>0</v>
      </c>
      <c r="L72" s="23">
        <f t="shared" si="37"/>
        <v>0</v>
      </c>
      <c r="M72" s="23">
        <f t="shared" si="37"/>
        <v>0</v>
      </c>
      <c r="N72" s="23">
        <f t="shared" si="37"/>
        <v>0</v>
      </c>
      <c r="O72" s="23">
        <f>SUM(O73:O74)</f>
        <v>0</v>
      </c>
      <c r="P72" s="23">
        <f>SUM(P73:P74)</f>
        <v>0</v>
      </c>
      <c r="Q72" s="23">
        <f>SUM(Q73:Q74)</f>
        <v>0</v>
      </c>
      <c r="R72" s="23">
        <f>SUM(R73:R74)</f>
        <v>0</v>
      </c>
      <c r="S72" s="23">
        <f>SUM(S73:S74)</f>
        <v>0</v>
      </c>
      <c r="U72" s="23">
        <f t="shared" si="37"/>
        <v>0</v>
      </c>
      <c r="V72" s="3">
        <f>SUM(E72:U72)</f>
        <v>1173528693.26</v>
      </c>
      <c r="W72" s="14"/>
      <c r="X72" s="14"/>
    </row>
    <row r="73" spans="1:24" x14ac:dyDescent="0.25">
      <c r="A73" s="15" t="s">
        <v>81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U73" s="14"/>
      <c r="V73" s="3">
        <f t="shared" ref="V73:V74" si="39">SUM(E73:U73)</f>
        <v>0</v>
      </c>
      <c r="W73" s="14"/>
      <c r="X73" s="14"/>
    </row>
    <row r="74" spans="1:24" x14ac:dyDescent="0.25">
      <c r="A74" s="15" t="s">
        <v>82</v>
      </c>
      <c r="B74" s="14"/>
      <c r="C74" s="14"/>
      <c r="D74" s="14"/>
      <c r="E74" s="50">
        <v>1073528693.26</v>
      </c>
      <c r="F74" s="14"/>
      <c r="G74" s="14">
        <v>100000000</v>
      </c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U74" s="14"/>
      <c r="V74" s="3">
        <f t="shared" si="39"/>
        <v>1173528693.26</v>
      </c>
      <c r="W74" s="14"/>
      <c r="X74" s="14"/>
    </row>
    <row r="75" spans="1:24" x14ac:dyDescent="0.25">
      <c r="A75" s="12" t="s">
        <v>83</v>
      </c>
      <c r="B75" s="23">
        <f>SUM(B76:B78)</f>
        <v>0</v>
      </c>
      <c r="C75" s="23"/>
      <c r="D75" s="23">
        <f t="shared" ref="D75:U75" si="40">SUM(D76:D78)</f>
        <v>0</v>
      </c>
      <c r="E75" s="23">
        <f t="shared" si="40"/>
        <v>0</v>
      </c>
      <c r="F75" s="23">
        <f t="shared" si="40"/>
        <v>0</v>
      </c>
      <c r="G75" s="23">
        <f t="shared" ref="G75:K75" si="41">SUM(G76:G78)</f>
        <v>0</v>
      </c>
      <c r="H75" s="23">
        <f t="shared" si="41"/>
        <v>0</v>
      </c>
      <c r="I75" s="23">
        <f t="shared" si="41"/>
        <v>0</v>
      </c>
      <c r="J75" s="23">
        <f t="shared" si="41"/>
        <v>0</v>
      </c>
      <c r="K75" s="23">
        <f t="shared" si="41"/>
        <v>0</v>
      </c>
      <c r="L75" s="23">
        <f t="shared" si="40"/>
        <v>0</v>
      </c>
      <c r="M75" s="23">
        <f t="shared" si="40"/>
        <v>0</v>
      </c>
      <c r="N75" s="23">
        <f t="shared" si="40"/>
        <v>0</v>
      </c>
      <c r="O75" s="23">
        <f>SUM(O76:O78)</f>
        <v>0</v>
      </c>
      <c r="P75" s="23">
        <f>SUM(P76:P78)</f>
        <v>0</v>
      </c>
      <c r="Q75" s="23">
        <f>SUM(Q76:Q78)</f>
        <v>0</v>
      </c>
      <c r="R75" s="23">
        <f>SUM(R76:R78)</f>
        <v>0</v>
      </c>
      <c r="S75" s="23">
        <f>SUM(S76:S78)</f>
        <v>0</v>
      </c>
      <c r="U75" s="23">
        <f t="shared" si="40"/>
        <v>0</v>
      </c>
      <c r="V75" s="3">
        <f>SUM(E75:U75)</f>
        <v>0</v>
      </c>
      <c r="W75" s="14"/>
      <c r="X75" s="14"/>
    </row>
    <row r="76" spans="1:24" x14ac:dyDescent="0.25">
      <c r="A76" s="15" t="s">
        <v>84</v>
      </c>
      <c r="B76" s="14"/>
      <c r="C76" s="14"/>
      <c r="D76" s="14">
        <f t="shared" ref="D76:D78" si="42">+B76-C76</f>
        <v>0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U76" s="14"/>
      <c r="V76" s="14"/>
      <c r="W76" s="14"/>
      <c r="X76" s="14"/>
    </row>
    <row r="77" spans="1:24" x14ac:dyDescent="0.25">
      <c r="A77" s="15" t="s">
        <v>85</v>
      </c>
      <c r="B77" s="14"/>
      <c r="C77" s="14"/>
      <c r="D77" s="14">
        <f t="shared" si="42"/>
        <v>0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U77" s="14"/>
      <c r="V77" s="14"/>
      <c r="W77" s="14"/>
      <c r="X77" s="14"/>
    </row>
    <row r="78" spans="1:24" x14ac:dyDescent="0.25">
      <c r="A78" s="15" t="s">
        <v>86</v>
      </c>
      <c r="B78" s="14"/>
      <c r="C78" s="14"/>
      <c r="D78" s="14">
        <f t="shared" si="42"/>
        <v>0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U78" s="14"/>
      <c r="V78" s="14"/>
      <c r="W78" s="14"/>
      <c r="X78" s="14"/>
    </row>
    <row r="79" spans="1:24" x14ac:dyDescent="0.25">
      <c r="A79" s="7" t="s">
        <v>87</v>
      </c>
      <c r="B79" s="28">
        <f>SUM(B86+B83+B80)</f>
        <v>0</v>
      </c>
      <c r="C79" s="28"/>
      <c r="D79" s="28">
        <f t="shared" ref="D79:U79" si="43">SUM(D86+D83+D80)</f>
        <v>0</v>
      </c>
      <c r="E79" s="28">
        <f t="shared" si="43"/>
        <v>0</v>
      </c>
      <c r="F79" s="28">
        <f t="shared" si="43"/>
        <v>0</v>
      </c>
      <c r="G79" s="28">
        <f t="shared" ref="G79:K79" si="44">SUM(G86+G83+G80)</f>
        <v>0</v>
      </c>
      <c r="H79" s="28">
        <f t="shared" si="44"/>
        <v>0</v>
      </c>
      <c r="I79" s="28">
        <f t="shared" si="44"/>
        <v>0</v>
      </c>
      <c r="J79" s="28">
        <f t="shared" si="44"/>
        <v>0</v>
      </c>
      <c r="K79" s="28">
        <f t="shared" si="44"/>
        <v>0</v>
      </c>
      <c r="L79" s="28">
        <f t="shared" si="43"/>
        <v>0</v>
      </c>
      <c r="M79" s="28">
        <f t="shared" si="43"/>
        <v>0</v>
      </c>
      <c r="N79" s="28">
        <f t="shared" si="43"/>
        <v>0</v>
      </c>
      <c r="O79" s="28">
        <f>SUM(O86+O83+O80)</f>
        <v>0</v>
      </c>
      <c r="P79" s="28">
        <f>SUM(P86+P83+P80)</f>
        <v>0</v>
      </c>
      <c r="Q79" s="28">
        <f>SUM(Q86+Q83+Q80)</f>
        <v>0</v>
      </c>
      <c r="R79" s="28">
        <f>SUM(R86+R83+R80)</f>
        <v>0</v>
      </c>
      <c r="S79" s="28">
        <f>SUM(S86+S83+S80)</f>
        <v>0</v>
      </c>
      <c r="U79" s="28">
        <f t="shared" si="43"/>
        <v>0</v>
      </c>
      <c r="V79" s="3">
        <f>SUM(E79:U79)</f>
        <v>0</v>
      </c>
      <c r="W79" s="14"/>
      <c r="X79" s="14"/>
    </row>
    <row r="80" spans="1:24" x14ac:dyDescent="0.25">
      <c r="A80" s="12" t="s">
        <v>88</v>
      </c>
      <c r="B80" s="23"/>
      <c r="C80" s="23"/>
      <c r="D80" s="14">
        <f t="shared" ref="D80:D87" si="45">+B80-C80</f>
        <v>0</v>
      </c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U80" s="14"/>
      <c r="V80" s="14"/>
      <c r="W80" s="14"/>
      <c r="X80" s="14"/>
    </row>
    <row r="81" spans="1:25" x14ac:dyDescent="0.25">
      <c r="A81" s="15" t="s">
        <v>89</v>
      </c>
      <c r="B81" s="14"/>
      <c r="C81" s="14"/>
      <c r="D81" s="14">
        <f t="shared" si="45"/>
        <v>0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U81" s="14"/>
      <c r="V81" s="14"/>
      <c r="W81" s="14"/>
      <c r="X81" s="14"/>
    </row>
    <row r="82" spans="1:25" x14ac:dyDescent="0.25">
      <c r="A82" s="15" t="s">
        <v>90</v>
      </c>
      <c r="B82" s="14"/>
      <c r="C82" s="14"/>
      <c r="D82" s="14">
        <f t="shared" si="45"/>
        <v>0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U82" s="14"/>
      <c r="V82" s="14"/>
      <c r="W82" s="14"/>
      <c r="X82" s="14"/>
    </row>
    <row r="83" spans="1:25" x14ac:dyDescent="0.25">
      <c r="A83" s="12" t="s">
        <v>91</v>
      </c>
      <c r="B83" s="23"/>
      <c r="C83" s="23"/>
      <c r="D83" s="14">
        <f t="shared" si="45"/>
        <v>0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U83" s="14"/>
      <c r="V83" s="14"/>
      <c r="W83" s="14"/>
      <c r="X83" s="14"/>
    </row>
    <row r="84" spans="1:25" x14ac:dyDescent="0.25">
      <c r="A84" s="15" t="s">
        <v>92</v>
      </c>
      <c r="B84" s="14"/>
      <c r="C84" s="14"/>
      <c r="D84" s="14">
        <f t="shared" si="45"/>
        <v>0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U84" s="14"/>
      <c r="V84" s="14"/>
      <c r="W84" s="14"/>
      <c r="X84" s="14"/>
    </row>
    <row r="85" spans="1:25" x14ac:dyDescent="0.25">
      <c r="A85" s="15" t="s">
        <v>93</v>
      </c>
      <c r="B85" s="14"/>
      <c r="C85" s="14"/>
      <c r="D85" s="14">
        <f t="shared" si="45"/>
        <v>0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U85" s="14"/>
      <c r="V85" s="14"/>
      <c r="W85" s="14"/>
      <c r="X85" s="14"/>
    </row>
    <row r="86" spans="1:25" x14ac:dyDescent="0.25">
      <c r="A86" s="12" t="s">
        <v>94</v>
      </c>
      <c r="B86" s="23"/>
      <c r="C86" s="23"/>
      <c r="D86" s="14">
        <f t="shared" si="45"/>
        <v>0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U86" s="14"/>
      <c r="V86" s="14"/>
      <c r="W86" s="14"/>
      <c r="X86" s="14"/>
    </row>
    <row r="87" spans="1:25" x14ac:dyDescent="0.25">
      <c r="A87" s="15" t="s">
        <v>95</v>
      </c>
      <c r="B87" s="14"/>
      <c r="C87" s="14"/>
      <c r="D87" s="14">
        <f t="shared" si="45"/>
        <v>0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U87" s="14"/>
      <c r="V87" s="14"/>
      <c r="W87" s="14"/>
      <c r="X87" s="14"/>
    </row>
    <row r="88" spans="1:25" s="30" customFormat="1" x14ac:dyDescent="0.25">
      <c r="A88" s="29" t="s">
        <v>96</v>
      </c>
      <c r="B88" s="46">
        <f>+B89+B92</f>
        <v>1018715219</v>
      </c>
      <c r="C88" s="46">
        <f>+C89+C92</f>
        <v>335485000</v>
      </c>
      <c r="D88" s="46">
        <f>+D89+D92</f>
        <v>1354200219</v>
      </c>
      <c r="E88" s="46">
        <f>+E89+E92</f>
        <v>116022024.71000001</v>
      </c>
      <c r="F88" s="46">
        <f t="shared" ref="F88:O88" si="46">+F89+F92</f>
        <v>101564948.8</v>
      </c>
      <c r="G88" s="46">
        <f t="shared" ref="G88" si="47">+G89+G92</f>
        <v>108251258.40000001</v>
      </c>
      <c r="H88" s="46">
        <f>+H89+H92</f>
        <v>114421648.78999999</v>
      </c>
      <c r="I88" s="46">
        <f>+I89+I92</f>
        <v>129708157.45</v>
      </c>
      <c r="J88" s="46">
        <f>+J89+J92</f>
        <v>120899820.76000001</v>
      </c>
      <c r="K88" s="46">
        <f>+K89+K92</f>
        <v>124122175.92</v>
      </c>
      <c r="L88" s="46">
        <f>+L89+L92</f>
        <v>118700383.09999999</v>
      </c>
      <c r="M88" s="46">
        <f t="shared" si="46"/>
        <v>0</v>
      </c>
      <c r="N88" s="46">
        <f>+N89+N92</f>
        <v>0</v>
      </c>
      <c r="O88" s="46">
        <f t="shared" si="46"/>
        <v>0</v>
      </c>
      <c r="P88" s="46">
        <f t="shared" ref="P88:U88" si="48">+P89+P92</f>
        <v>0</v>
      </c>
      <c r="Q88" s="46">
        <f t="shared" si="48"/>
        <v>0</v>
      </c>
      <c r="R88" s="46">
        <f t="shared" si="48"/>
        <v>0</v>
      </c>
      <c r="S88" s="46">
        <f t="shared" si="48"/>
        <v>0</v>
      </c>
      <c r="T88" s="46">
        <f t="shared" si="48"/>
        <v>0</v>
      </c>
      <c r="U88" s="46">
        <f t="shared" si="48"/>
        <v>0</v>
      </c>
      <c r="V88" s="48">
        <f>SUM(E88:U88)</f>
        <v>933690417.92999995</v>
      </c>
      <c r="W88" s="23"/>
      <c r="X88" s="23"/>
    </row>
    <row r="89" spans="1:25" s="30" customFormat="1" x14ac:dyDescent="0.25">
      <c r="A89" s="31" t="s">
        <v>23</v>
      </c>
      <c r="B89" s="23">
        <f>+B90+B91</f>
        <v>811715219</v>
      </c>
      <c r="C89" s="23">
        <f>+C90+C91</f>
        <v>335485000</v>
      </c>
      <c r="D89" s="23">
        <f>SUM(D90:D91)</f>
        <v>1147200219</v>
      </c>
      <c r="E89" s="23">
        <f>+E90+E91</f>
        <v>95600000</v>
      </c>
      <c r="F89" s="23">
        <f t="shared" ref="F89:U89" si="49">+F90+F91</f>
        <v>95600000</v>
      </c>
      <c r="G89" s="23">
        <f t="shared" ref="G89:K89" si="50">+G90+G91</f>
        <v>95600000</v>
      </c>
      <c r="H89" s="23">
        <f t="shared" si="50"/>
        <v>95600000</v>
      </c>
      <c r="I89" s="23">
        <f t="shared" si="50"/>
        <v>95600000</v>
      </c>
      <c r="J89" s="23">
        <f t="shared" si="50"/>
        <v>95600000</v>
      </c>
      <c r="K89" s="23">
        <f t="shared" si="50"/>
        <v>95600000</v>
      </c>
      <c r="L89" s="23">
        <f t="shared" si="49"/>
        <v>95600000</v>
      </c>
      <c r="M89" s="23">
        <f t="shared" si="49"/>
        <v>0</v>
      </c>
      <c r="N89" s="23">
        <f t="shared" si="49"/>
        <v>0</v>
      </c>
      <c r="O89" s="23">
        <f t="shared" si="49"/>
        <v>0</v>
      </c>
      <c r="P89" s="23">
        <f t="shared" si="49"/>
        <v>0</v>
      </c>
      <c r="Q89" s="23">
        <f t="shared" si="49"/>
        <v>0</v>
      </c>
      <c r="R89" s="23">
        <f t="shared" si="49"/>
        <v>0</v>
      </c>
      <c r="S89" s="23">
        <f t="shared" si="49"/>
        <v>0</v>
      </c>
      <c r="T89" s="23">
        <f t="shared" si="49"/>
        <v>0</v>
      </c>
      <c r="U89" s="23">
        <f t="shared" si="49"/>
        <v>0</v>
      </c>
      <c r="V89" s="76">
        <f t="shared" ref="V88:V113" si="51">SUM(E89:U89)</f>
        <v>764800000</v>
      </c>
      <c r="W89" s="23"/>
      <c r="X89" s="23"/>
    </row>
    <row r="90" spans="1:25" x14ac:dyDescent="0.25">
      <c r="A90" s="32" t="s">
        <v>97</v>
      </c>
      <c r="B90" s="14">
        <v>400715219</v>
      </c>
      <c r="C90" s="14"/>
      <c r="D90" s="14">
        <f t="shared" ref="D90:D93" si="52">+B90-C90</f>
        <v>400715219</v>
      </c>
      <c r="E90" s="14">
        <v>61350000</v>
      </c>
      <c r="F90" s="14">
        <v>61350000</v>
      </c>
      <c r="G90" s="14">
        <v>61350000</v>
      </c>
      <c r="H90" s="14">
        <v>61350000</v>
      </c>
      <c r="I90" s="14">
        <v>61350000</v>
      </c>
      <c r="J90" s="14">
        <v>61350000</v>
      </c>
      <c r="K90" s="14">
        <v>61350000</v>
      </c>
      <c r="L90" s="14">
        <v>61350000</v>
      </c>
      <c r="M90" s="14"/>
      <c r="N90" s="14"/>
      <c r="O90" s="14"/>
      <c r="P90" s="14"/>
      <c r="Q90" s="14"/>
      <c r="R90" s="14"/>
      <c r="S90" s="14"/>
      <c r="T90" s="14"/>
      <c r="U90" s="14"/>
      <c r="V90" s="3">
        <f t="shared" si="51"/>
        <v>490800000</v>
      </c>
      <c r="W90" s="14"/>
      <c r="X90" s="14"/>
    </row>
    <row r="91" spans="1:25" x14ac:dyDescent="0.25">
      <c r="A91" s="32" t="s">
        <v>28</v>
      </c>
      <c r="B91" s="33">
        <v>411000000</v>
      </c>
      <c r="C91" s="59">
        <v>335485000</v>
      </c>
      <c r="D91" s="14">
        <f>+B91+C91</f>
        <v>746485000</v>
      </c>
      <c r="E91" s="14">
        <v>34250000</v>
      </c>
      <c r="F91" s="14">
        <v>34250000</v>
      </c>
      <c r="G91" s="14">
        <v>34250000</v>
      </c>
      <c r="H91" s="14">
        <v>34250000</v>
      </c>
      <c r="I91" s="14">
        <v>34250000</v>
      </c>
      <c r="J91" s="14">
        <v>34250000</v>
      </c>
      <c r="K91" s="14">
        <v>34250000</v>
      </c>
      <c r="L91" s="14">
        <v>34250000</v>
      </c>
      <c r="M91" s="14"/>
      <c r="N91" s="14"/>
      <c r="O91" s="14"/>
      <c r="P91" s="14"/>
      <c r="Q91" s="14"/>
      <c r="R91" s="14"/>
      <c r="S91" s="14"/>
      <c r="T91" s="14"/>
      <c r="U91" s="14"/>
      <c r="V91" s="3">
        <f>SUM(E91:U91)</f>
        <v>274000000</v>
      </c>
      <c r="W91" s="14"/>
      <c r="X91" s="14"/>
    </row>
    <row r="92" spans="1:25" s="30" customFormat="1" x14ac:dyDescent="0.25">
      <c r="A92" s="31" t="s">
        <v>29</v>
      </c>
      <c r="B92" s="23">
        <f>+B93</f>
        <v>207000000</v>
      </c>
      <c r="C92" s="23"/>
      <c r="D92" s="14">
        <f t="shared" si="52"/>
        <v>207000000</v>
      </c>
      <c r="E92" s="23">
        <f>+E93</f>
        <v>20422024.710000001</v>
      </c>
      <c r="F92" s="23">
        <f t="shared" ref="F92:U92" si="53">+F93</f>
        <v>5964948.7999999998</v>
      </c>
      <c r="G92" s="23">
        <f t="shared" si="53"/>
        <v>12651258.4</v>
      </c>
      <c r="H92" s="23">
        <f t="shared" si="53"/>
        <v>18821648.789999999</v>
      </c>
      <c r="I92" s="23">
        <f t="shared" si="53"/>
        <v>34108157.450000003</v>
      </c>
      <c r="J92" s="23">
        <f t="shared" si="53"/>
        <v>25299820.760000002</v>
      </c>
      <c r="K92" s="23">
        <f t="shared" si="53"/>
        <v>28522175.920000002</v>
      </c>
      <c r="L92" s="23">
        <f t="shared" si="53"/>
        <v>23100383.100000001</v>
      </c>
      <c r="M92" s="23">
        <f t="shared" si="53"/>
        <v>0</v>
      </c>
      <c r="N92" s="23">
        <f t="shared" si="53"/>
        <v>0</v>
      </c>
      <c r="O92" s="23">
        <f t="shared" si="53"/>
        <v>0</v>
      </c>
      <c r="P92" s="23">
        <f t="shared" si="53"/>
        <v>0</v>
      </c>
      <c r="Q92" s="23">
        <f t="shared" si="53"/>
        <v>0</v>
      </c>
      <c r="R92" s="23">
        <f t="shared" si="53"/>
        <v>0</v>
      </c>
      <c r="S92" s="23">
        <f t="shared" si="53"/>
        <v>0</v>
      </c>
      <c r="T92" s="23">
        <f t="shared" si="53"/>
        <v>0</v>
      </c>
      <c r="U92" s="23">
        <f t="shared" si="53"/>
        <v>0</v>
      </c>
      <c r="V92" s="76">
        <f t="shared" si="51"/>
        <v>168890417.93000001</v>
      </c>
      <c r="W92" s="23"/>
      <c r="X92" s="23"/>
    </row>
    <row r="93" spans="1:25" x14ac:dyDescent="0.25">
      <c r="A93" s="32" t="s">
        <v>32</v>
      </c>
      <c r="B93" s="14">
        <v>207000000</v>
      </c>
      <c r="C93" s="14"/>
      <c r="D93" s="14">
        <f t="shared" si="52"/>
        <v>207000000</v>
      </c>
      <c r="E93" s="50">
        <f>16103842.51+4318182.2</f>
        <v>20422024.710000001</v>
      </c>
      <c r="F93" s="27">
        <v>5964948.7999999998</v>
      </c>
      <c r="G93" s="27">
        <v>12651258.4</v>
      </c>
      <c r="H93" s="27">
        <v>18821648.789999999</v>
      </c>
      <c r="I93" s="27">
        <v>34108157.450000003</v>
      </c>
      <c r="J93" s="27">
        <v>25299820.760000002</v>
      </c>
      <c r="K93" s="27">
        <v>28522175.920000002</v>
      </c>
      <c r="L93" s="27">
        <v>23100383.100000001</v>
      </c>
      <c r="M93" s="27"/>
      <c r="N93" s="25"/>
      <c r="O93" s="27"/>
      <c r="P93" s="34"/>
      <c r="Q93" s="34"/>
      <c r="R93" s="35"/>
      <c r="S93" s="36"/>
      <c r="T93" s="36"/>
      <c r="U93" s="36"/>
      <c r="V93" s="3">
        <f t="shared" si="51"/>
        <v>168890417.93000001</v>
      </c>
      <c r="W93" s="14"/>
      <c r="X93" s="14"/>
      <c r="Y93" s="74"/>
    </row>
    <row r="94" spans="1:25" x14ac:dyDescent="0.25">
      <c r="A94" s="29" t="s">
        <v>98</v>
      </c>
      <c r="B94" s="46">
        <f t="shared" ref="B94:L94" si="54">+B95+B100+B106+B110+B112</f>
        <v>193583012</v>
      </c>
      <c r="C94" s="46">
        <f>+C95+C100+C106+C110+C112</f>
        <v>0</v>
      </c>
      <c r="D94" s="46">
        <f t="shared" si="54"/>
        <v>193583012</v>
      </c>
      <c r="E94" s="46">
        <f>+E95+E100+E106+E110+E112</f>
        <v>16193741.93</v>
      </c>
      <c r="F94" s="46">
        <f t="shared" si="54"/>
        <v>15924052.5</v>
      </c>
      <c r="G94" s="46">
        <f>+G95+G100+G106+G110+G112</f>
        <v>15844732.08</v>
      </c>
      <c r="H94" s="46">
        <f>+H95+H100+H106+H110+H112</f>
        <v>15835908.609999999</v>
      </c>
      <c r="I94" s="46">
        <f t="shared" ref="G94:K94" si="55">+I95+I100+I106+I110+I112</f>
        <v>15844732.07</v>
      </c>
      <c r="J94" s="46">
        <f t="shared" si="55"/>
        <v>15686091.24</v>
      </c>
      <c r="K94" s="46">
        <f t="shared" si="55"/>
        <v>15646304.41</v>
      </c>
      <c r="L94" s="46">
        <f t="shared" si="54"/>
        <v>15519328.4</v>
      </c>
      <c r="M94" s="46">
        <f t="shared" ref="M94:N94" si="56">+M95+M100+M106+M110+M112</f>
        <v>0</v>
      </c>
      <c r="N94" s="46">
        <f t="shared" si="56"/>
        <v>0</v>
      </c>
      <c r="O94" s="46">
        <f t="shared" ref="O94:U94" si="57">+O95+O100+O106+O110+O112</f>
        <v>0</v>
      </c>
      <c r="P94" s="46">
        <f t="shared" si="57"/>
        <v>0</v>
      </c>
      <c r="Q94" s="46">
        <f t="shared" si="57"/>
        <v>0</v>
      </c>
      <c r="R94" s="46">
        <f t="shared" si="57"/>
        <v>0</v>
      </c>
      <c r="S94" s="46">
        <f t="shared" si="57"/>
        <v>0</v>
      </c>
      <c r="T94" s="46">
        <f t="shared" si="57"/>
        <v>0</v>
      </c>
      <c r="U94" s="46">
        <f t="shared" si="57"/>
        <v>0</v>
      </c>
      <c r="V94" s="48">
        <f>SUM(E94:U94)</f>
        <v>126494891.23999999</v>
      </c>
      <c r="W94" s="49"/>
      <c r="X94" s="14"/>
    </row>
    <row r="95" spans="1:25" x14ac:dyDescent="0.25">
      <c r="A95" s="31" t="s">
        <v>23</v>
      </c>
      <c r="B95" s="23">
        <f>SUM(B96:B99)</f>
        <v>47084000</v>
      </c>
      <c r="C95" s="23">
        <f>SUM(C96:C99)</f>
        <v>8974000</v>
      </c>
      <c r="D95" s="23">
        <f>SUM(D96:D99)</f>
        <v>56058000</v>
      </c>
      <c r="E95" s="23">
        <f t="shared" ref="E95:U95" si="58">SUM(E96:E99)</f>
        <v>4090133.94</v>
      </c>
      <c r="F95" s="23">
        <f t="shared" ref="F95:K95" si="59">SUM(F96:F99)</f>
        <v>4439877.7</v>
      </c>
      <c r="G95" s="23">
        <f t="shared" si="59"/>
        <v>4103040.91</v>
      </c>
      <c r="H95" s="23">
        <f t="shared" ref="H95" si="60">SUM(H96:H99)</f>
        <v>4087630.26</v>
      </c>
      <c r="I95" s="23">
        <f t="shared" si="59"/>
        <v>4093780.31</v>
      </c>
      <c r="J95" s="23">
        <f t="shared" si="59"/>
        <v>4107140.3600000003</v>
      </c>
      <c r="K95" s="23">
        <f t="shared" si="59"/>
        <v>4721275.4399999995</v>
      </c>
      <c r="L95" s="23">
        <f t="shared" si="58"/>
        <v>4001207.22</v>
      </c>
      <c r="M95" s="23">
        <f t="shared" si="58"/>
        <v>0</v>
      </c>
      <c r="N95" s="23">
        <f t="shared" si="58"/>
        <v>0</v>
      </c>
      <c r="O95" s="23">
        <f t="shared" si="58"/>
        <v>0</v>
      </c>
      <c r="P95" s="23">
        <f t="shared" si="58"/>
        <v>0</v>
      </c>
      <c r="Q95" s="23">
        <f t="shared" si="58"/>
        <v>0</v>
      </c>
      <c r="R95" s="23">
        <f t="shared" si="58"/>
        <v>0</v>
      </c>
      <c r="S95" s="23">
        <f t="shared" si="58"/>
        <v>0</v>
      </c>
      <c r="T95" s="23">
        <f t="shared" si="58"/>
        <v>0</v>
      </c>
      <c r="U95" s="23">
        <f t="shared" si="58"/>
        <v>0</v>
      </c>
      <c r="V95" s="76">
        <f t="shared" si="51"/>
        <v>33644086.140000001</v>
      </c>
      <c r="W95" s="14"/>
      <c r="X95" s="14"/>
    </row>
    <row r="96" spans="1:25" x14ac:dyDescent="0.25">
      <c r="A96" s="32" t="s">
        <v>24</v>
      </c>
      <c r="B96" s="14">
        <v>35800000</v>
      </c>
      <c r="C96" s="14">
        <v>10550000</v>
      </c>
      <c r="D96" s="14">
        <f>+B96+C96</f>
        <v>46350000</v>
      </c>
      <c r="E96" s="25">
        <v>3423278.35</v>
      </c>
      <c r="F96" s="25">
        <v>3779645.67</v>
      </c>
      <c r="G96" s="25">
        <v>3436558.35</v>
      </c>
      <c r="H96" s="25">
        <v>3420558.38</v>
      </c>
      <c r="I96" s="25">
        <v>3420558.35</v>
      </c>
      <c r="J96" s="25">
        <v>3420558.35</v>
      </c>
      <c r="K96" s="25">
        <v>4086345.8</v>
      </c>
      <c r="L96" s="25">
        <v>3367558.35</v>
      </c>
      <c r="M96" s="25"/>
      <c r="N96" s="25"/>
      <c r="O96" s="25"/>
      <c r="P96" s="25"/>
      <c r="Q96" s="25"/>
      <c r="R96" s="25"/>
      <c r="S96" s="25"/>
      <c r="T96" s="25"/>
      <c r="U96" s="25"/>
      <c r="V96" s="3">
        <f t="shared" si="51"/>
        <v>28355061.600000005</v>
      </c>
      <c r="W96" s="14"/>
      <c r="X96" s="14"/>
    </row>
    <row r="97" spans="1:24" x14ac:dyDescent="0.25">
      <c r="A97" s="32" t="s">
        <v>25</v>
      </c>
      <c r="B97" s="14">
        <v>1582000</v>
      </c>
      <c r="C97" s="14">
        <v>-598000</v>
      </c>
      <c r="D97" s="14">
        <f t="shared" ref="D97:D98" si="61">+B97+C97</f>
        <v>984000</v>
      </c>
      <c r="E97" s="25">
        <v>138500</v>
      </c>
      <c r="F97" s="25">
        <v>138500</v>
      </c>
      <c r="G97" s="25">
        <v>138500</v>
      </c>
      <c r="H97" s="25">
        <v>138500</v>
      </c>
      <c r="I97" s="25">
        <v>138500</v>
      </c>
      <c r="J97" s="25">
        <v>138500</v>
      </c>
      <c r="K97" s="25">
        <v>97000</v>
      </c>
      <c r="L97" s="25">
        <v>97000</v>
      </c>
      <c r="M97" s="25"/>
      <c r="N97" s="25"/>
      <c r="O97" s="25"/>
      <c r="P97" s="25"/>
      <c r="Q97" s="25"/>
      <c r="R97" s="25"/>
      <c r="S97" s="25"/>
      <c r="T97" s="25"/>
      <c r="U97" s="25"/>
      <c r="V97" s="3">
        <f t="shared" si="51"/>
        <v>1025000</v>
      </c>
      <c r="W97" s="14"/>
      <c r="X97" s="14"/>
    </row>
    <row r="98" spans="1:24" x14ac:dyDescent="0.25">
      <c r="A98" s="32" t="s">
        <v>110</v>
      </c>
      <c r="B98" s="14"/>
      <c r="C98" s="14">
        <v>3500000</v>
      </c>
      <c r="D98" s="14">
        <f t="shared" si="61"/>
        <v>3500000</v>
      </c>
      <c r="E98" s="25">
        <v>0</v>
      </c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3">
        <f t="shared" si="51"/>
        <v>0</v>
      </c>
      <c r="W98" s="14"/>
      <c r="X98" s="14"/>
    </row>
    <row r="99" spans="1:24" x14ac:dyDescent="0.25">
      <c r="A99" s="32" t="s">
        <v>28</v>
      </c>
      <c r="B99" s="14">
        <v>9702000</v>
      </c>
      <c r="C99" s="14">
        <v>-4478000</v>
      </c>
      <c r="D99" s="14">
        <f>+B99+C99</f>
        <v>5224000</v>
      </c>
      <c r="E99" s="25">
        <v>528355.59</v>
      </c>
      <c r="F99" s="25">
        <v>521732.03</v>
      </c>
      <c r="G99" s="25">
        <v>527982.56000000006</v>
      </c>
      <c r="H99" s="25">
        <v>528571.88</v>
      </c>
      <c r="I99" s="25">
        <v>534721.96</v>
      </c>
      <c r="J99" s="25">
        <v>548082.01</v>
      </c>
      <c r="K99" s="25">
        <v>537929.64</v>
      </c>
      <c r="L99" s="25">
        <v>536648.87</v>
      </c>
      <c r="M99" s="25"/>
      <c r="N99" s="25"/>
      <c r="O99" s="25"/>
      <c r="P99" s="25"/>
      <c r="Q99" s="25"/>
      <c r="R99" s="25"/>
      <c r="S99" s="25"/>
      <c r="T99" s="25"/>
      <c r="U99" s="25"/>
      <c r="V99" s="3">
        <f t="shared" si="51"/>
        <v>4264024.54</v>
      </c>
      <c r="W99" s="14"/>
      <c r="X99" s="14"/>
    </row>
    <row r="100" spans="1:24" x14ac:dyDescent="0.25">
      <c r="A100" s="31" t="s">
        <v>29</v>
      </c>
      <c r="B100" s="23">
        <f>SUM(B101:B105)</f>
        <v>21721012</v>
      </c>
      <c r="C100" s="23">
        <f>SUM(C101:C105)</f>
        <v>-7954000</v>
      </c>
      <c r="D100" s="23">
        <f>SUM(D101:D105)</f>
        <v>13767012</v>
      </c>
      <c r="E100" s="23">
        <f t="shared" ref="E100:U100" si="62">SUM(E101:E105)</f>
        <v>1588519.5099999998</v>
      </c>
      <c r="F100" s="23">
        <f t="shared" si="62"/>
        <v>1199199.67</v>
      </c>
      <c r="G100" s="23">
        <f>SUM(G101:G105)</f>
        <v>1026435.24</v>
      </c>
      <c r="H100" s="23">
        <f>SUM(H101:H105)</f>
        <v>2036691.6600000001</v>
      </c>
      <c r="I100" s="23">
        <f t="shared" ref="G100:K100" si="63">SUM(I101:I105)</f>
        <v>998268.96</v>
      </c>
      <c r="J100" s="23">
        <f t="shared" si="63"/>
        <v>998269.08</v>
      </c>
      <c r="K100" s="23">
        <f t="shared" si="63"/>
        <v>911419.81</v>
      </c>
      <c r="L100" s="23">
        <f t="shared" si="62"/>
        <v>1836085.94</v>
      </c>
      <c r="M100" s="23">
        <f t="shared" si="62"/>
        <v>0</v>
      </c>
      <c r="N100" s="23">
        <f t="shared" si="62"/>
        <v>0</v>
      </c>
      <c r="O100" s="23">
        <f t="shared" si="62"/>
        <v>0</v>
      </c>
      <c r="P100" s="23">
        <f t="shared" si="62"/>
        <v>0</v>
      </c>
      <c r="Q100" s="23">
        <f t="shared" si="62"/>
        <v>0</v>
      </c>
      <c r="R100" s="23">
        <f t="shared" si="62"/>
        <v>0</v>
      </c>
      <c r="S100" s="23">
        <f t="shared" si="62"/>
        <v>0</v>
      </c>
      <c r="T100" s="23">
        <f t="shared" si="62"/>
        <v>0</v>
      </c>
      <c r="U100" s="23">
        <f t="shared" si="62"/>
        <v>0</v>
      </c>
      <c r="V100" s="76">
        <f t="shared" si="51"/>
        <v>10594889.869999999</v>
      </c>
      <c r="W100" s="14"/>
      <c r="X100" s="14"/>
    </row>
    <row r="101" spans="1:24" x14ac:dyDescent="0.25">
      <c r="A101" s="32" t="s">
        <v>30</v>
      </c>
      <c r="B101" s="14">
        <v>2010000</v>
      </c>
      <c r="C101" s="14">
        <v>-426000</v>
      </c>
      <c r="D101" s="14">
        <f t="shared" ref="D101:D105" si="64">+B101+C101</f>
        <v>1584000</v>
      </c>
      <c r="E101" s="25">
        <v>136221.21</v>
      </c>
      <c r="F101" s="25">
        <v>136876.06</v>
      </c>
      <c r="G101" s="14">
        <v>124579.96</v>
      </c>
      <c r="H101" s="14">
        <v>162205.45000000001</v>
      </c>
      <c r="I101" s="14">
        <v>162205.45000000001</v>
      </c>
      <c r="J101" s="14">
        <v>162205.45000000001</v>
      </c>
      <c r="K101" s="14">
        <v>120654.06</v>
      </c>
      <c r="L101" s="14">
        <v>108815.19</v>
      </c>
      <c r="M101" s="14"/>
      <c r="N101" s="14"/>
      <c r="O101" s="14"/>
      <c r="P101" s="14"/>
      <c r="Q101" s="14"/>
      <c r="R101" s="14"/>
      <c r="S101" s="14"/>
      <c r="T101" s="14"/>
      <c r="U101" s="14"/>
      <c r="V101" s="3">
        <f>SUM(E101:U101)</f>
        <v>1113762.83</v>
      </c>
      <c r="W101" s="14"/>
      <c r="X101" s="14"/>
    </row>
    <row r="102" spans="1:24" x14ac:dyDescent="0.25">
      <c r="A102" s="32" t="s">
        <v>32</v>
      </c>
      <c r="B102" s="14">
        <v>6000000</v>
      </c>
      <c r="C102" s="14">
        <v>-300000</v>
      </c>
      <c r="D102" s="14">
        <f t="shared" si="64"/>
        <v>5700000</v>
      </c>
      <c r="E102" s="25">
        <v>38000</v>
      </c>
      <c r="F102" s="25">
        <v>42800</v>
      </c>
      <c r="G102" s="14">
        <v>608000</v>
      </c>
      <c r="H102" s="14">
        <v>304000</v>
      </c>
      <c r="I102" s="14">
        <v>304000</v>
      </c>
      <c r="J102" s="14">
        <v>304000</v>
      </c>
      <c r="K102" s="14">
        <v>0</v>
      </c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3">
        <f t="shared" si="51"/>
        <v>1600800</v>
      </c>
      <c r="W102" s="14"/>
      <c r="X102" s="14"/>
    </row>
    <row r="103" spans="1:24" x14ac:dyDescent="0.25">
      <c r="A103" s="32" t="s">
        <v>34</v>
      </c>
      <c r="B103" s="14">
        <v>3328600</v>
      </c>
      <c r="C103" s="14">
        <v>700000</v>
      </c>
      <c r="D103" s="14">
        <f>+B103+C103</f>
        <v>4028600</v>
      </c>
      <c r="E103" s="25">
        <v>285435</v>
      </c>
      <c r="F103" s="25">
        <v>278055</v>
      </c>
      <c r="G103" s="14">
        <v>265860</v>
      </c>
      <c r="H103" s="14">
        <v>273600</v>
      </c>
      <c r="I103" s="14">
        <v>273600</v>
      </c>
      <c r="J103" s="14">
        <v>273600</v>
      </c>
      <c r="K103" s="14">
        <v>249305</v>
      </c>
      <c r="L103" s="14">
        <v>250962.5</v>
      </c>
      <c r="M103" s="14"/>
      <c r="N103" s="14"/>
      <c r="O103" s="14"/>
      <c r="P103" s="14"/>
      <c r="Q103" s="14"/>
      <c r="R103" s="14"/>
      <c r="S103" s="14"/>
      <c r="T103" s="14"/>
      <c r="U103" s="14"/>
      <c r="V103" s="3">
        <f t="shared" si="51"/>
        <v>2150417.5</v>
      </c>
      <c r="W103" s="14"/>
      <c r="X103" s="14"/>
    </row>
    <row r="104" spans="1:24" x14ac:dyDescent="0.25">
      <c r="A104" s="32" t="s">
        <v>112</v>
      </c>
      <c r="B104" s="14"/>
      <c r="C104" s="14">
        <v>75000</v>
      </c>
      <c r="D104" s="14">
        <f>+B104+C104</f>
        <v>75000</v>
      </c>
      <c r="E104" s="25"/>
      <c r="F104" s="25">
        <f t="shared" ref="F102:F104" si="65">+E104/12</f>
        <v>0</v>
      </c>
      <c r="G104" s="14"/>
      <c r="H104" s="14">
        <v>0</v>
      </c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3">
        <f t="shared" si="51"/>
        <v>0</v>
      </c>
      <c r="W104" s="14"/>
      <c r="X104" s="14"/>
    </row>
    <row r="105" spans="1:24" ht="15.75" thickBot="1" x14ac:dyDescent="0.3">
      <c r="A105" s="37" t="s">
        <v>37</v>
      </c>
      <c r="B105" s="14">
        <v>10382412</v>
      </c>
      <c r="C105" s="14">
        <v>-8003000</v>
      </c>
      <c r="D105" s="14">
        <f t="shared" si="64"/>
        <v>2379412</v>
      </c>
      <c r="E105" s="25">
        <f>1104445.92+24417.38</f>
        <v>1128863.2999999998</v>
      </c>
      <c r="F105" s="25">
        <f>717051.23+24417.38</f>
        <v>741468.61</v>
      </c>
      <c r="G105" s="14">
        <f>73072.9+24417.38-69495</f>
        <v>27995.279999999999</v>
      </c>
      <c r="H105" s="14">
        <f>327022.53+978687.15-8823.47</f>
        <v>1296886.2100000002</v>
      </c>
      <c r="I105" s="14">
        <f>335846+24417.38-101799.87</f>
        <v>258463.51</v>
      </c>
      <c r="J105" s="14">
        <f>335846+24417.38-101799.75</f>
        <v>258463.63</v>
      </c>
      <c r="K105" s="14">
        <f>583990.62+24417.38-66947.25</f>
        <v>541460.75</v>
      </c>
      <c r="L105" s="14">
        <f>1336753.23+23478.25+116076.77</f>
        <v>1476308.25</v>
      </c>
      <c r="M105" s="14"/>
      <c r="N105" s="14"/>
      <c r="O105" s="14"/>
      <c r="P105" s="14"/>
      <c r="Q105" s="14"/>
      <c r="R105" s="14"/>
      <c r="S105" s="14"/>
      <c r="T105" s="14"/>
      <c r="U105" s="14"/>
      <c r="V105" s="3">
        <f t="shared" si="51"/>
        <v>5729909.54</v>
      </c>
      <c r="W105" s="14"/>
      <c r="X105" s="14"/>
    </row>
    <row r="106" spans="1:24" ht="15.75" thickBot="1" x14ac:dyDescent="0.3">
      <c r="A106" s="38" t="s">
        <v>39</v>
      </c>
      <c r="B106" s="23">
        <f>+B108</f>
        <v>4400000</v>
      </c>
      <c r="C106" s="23">
        <f>SUM(C107:C109)</f>
        <v>380000</v>
      </c>
      <c r="D106" s="23">
        <f>SUM(D107:D109)</f>
        <v>4780000</v>
      </c>
      <c r="E106" s="23">
        <f>+E107+E108+E109</f>
        <v>374005.43</v>
      </c>
      <c r="F106" s="23">
        <f t="shared" ref="F106:K106" si="66">+F107+F108+F109</f>
        <v>423340.75</v>
      </c>
      <c r="G106" s="23">
        <f>+G107+G108+G109</f>
        <v>329497</v>
      </c>
      <c r="H106" s="23">
        <f>SUM(H107:H109)</f>
        <v>361801.87</v>
      </c>
      <c r="I106" s="23">
        <f t="shared" ref="I106:K106" si="67">SUM(I107:I109)</f>
        <v>385526.86</v>
      </c>
      <c r="J106" s="23">
        <f t="shared" si="67"/>
        <v>385525.86</v>
      </c>
      <c r="K106" s="23">
        <f t="shared" si="67"/>
        <v>367304.75</v>
      </c>
      <c r="L106" s="23">
        <f t="shared" ref="I106:L106" si="68">+L107</f>
        <v>66952.5</v>
      </c>
      <c r="M106" s="23">
        <f t="shared" ref="L106:U106" si="69">+M108</f>
        <v>0</v>
      </c>
      <c r="N106" s="23">
        <f t="shared" si="69"/>
        <v>0</v>
      </c>
      <c r="O106" s="23">
        <f t="shared" si="69"/>
        <v>0</v>
      </c>
      <c r="P106" s="23">
        <f t="shared" si="69"/>
        <v>0</v>
      </c>
      <c r="Q106" s="23">
        <f t="shared" si="69"/>
        <v>0</v>
      </c>
      <c r="R106" s="23">
        <f t="shared" si="69"/>
        <v>0</v>
      </c>
      <c r="S106" s="23">
        <f t="shared" si="69"/>
        <v>0</v>
      </c>
      <c r="T106" s="23">
        <f t="shared" si="69"/>
        <v>0</v>
      </c>
      <c r="U106" s="23">
        <f t="shared" si="69"/>
        <v>0</v>
      </c>
      <c r="V106" s="76">
        <f>+V107</f>
        <v>2364471.3000000003</v>
      </c>
      <c r="W106" s="14"/>
      <c r="X106" s="14"/>
    </row>
    <row r="107" spans="1:24" x14ac:dyDescent="0.25">
      <c r="A107" s="32" t="s">
        <v>109</v>
      </c>
      <c r="B107" s="23"/>
      <c r="C107" s="14">
        <v>600000</v>
      </c>
      <c r="D107" s="14">
        <f>+B107+C107</f>
        <v>600000</v>
      </c>
      <c r="E107" s="25">
        <v>50500</v>
      </c>
      <c r="F107" s="25">
        <v>69495</v>
      </c>
      <c r="G107" s="14">
        <v>69495</v>
      </c>
      <c r="H107" s="14">
        <v>92976.4</v>
      </c>
      <c r="I107" s="14">
        <v>92976.4</v>
      </c>
      <c r="J107" s="14">
        <v>92975.4</v>
      </c>
      <c r="K107" s="14">
        <v>85083.35</v>
      </c>
      <c r="L107" s="23">
        <v>66952.5</v>
      </c>
      <c r="M107" s="23"/>
      <c r="N107" s="23"/>
      <c r="O107" s="23"/>
      <c r="P107" s="23"/>
      <c r="Q107" s="23"/>
      <c r="R107" s="23"/>
      <c r="S107" s="23"/>
      <c r="T107" s="23"/>
      <c r="U107" s="23"/>
      <c r="V107" s="76">
        <f>SUM(V108:V109)</f>
        <v>2364471.3000000003</v>
      </c>
      <c r="W107" s="14"/>
      <c r="X107" s="14"/>
    </row>
    <row r="108" spans="1:24" x14ac:dyDescent="0.25">
      <c r="A108" s="37" t="s">
        <v>46</v>
      </c>
      <c r="B108" s="14">
        <v>4400000</v>
      </c>
      <c r="C108" s="14">
        <v>-300000</v>
      </c>
      <c r="D108" s="14">
        <f>+B108+C108</f>
        <v>4100000</v>
      </c>
      <c r="E108" s="25">
        <v>323505.43</v>
      </c>
      <c r="F108" s="25">
        <v>353845.75</v>
      </c>
      <c r="G108" s="25">
        <v>260002</v>
      </c>
      <c r="H108" s="25">
        <v>260002</v>
      </c>
      <c r="I108" s="25">
        <v>283726.99</v>
      </c>
      <c r="J108" s="25">
        <v>283726.99</v>
      </c>
      <c r="K108" s="25">
        <v>282221.40000000002</v>
      </c>
      <c r="L108" s="25">
        <f>260002+30968.33</f>
        <v>290970.33</v>
      </c>
      <c r="M108" s="25"/>
      <c r="N108" s="25"/>
      <c r="O108" s="25"/>
      <c r="P108" s="25"/>
      <c r="Q108" s="25"/>
      <c r="R108" s="25"/>
      <c r="S108" s="14"/>
      <c r="T108" s="14"/>
      <c r="U108" s="14"/>
      <c r="V108" s="3">
        <f t="shared" si="51"/>
        <v>2338000.89</v>
      </c>
      <c r="W108" s="14"/>
      <c r="X108" s="14"/>
    </row>
    <row r="109" spans="1:24" x14ac:dyDescent="0.25">
      <c r="A109" s="32" t="s">
        <v>111</v>
      </c>
      <c r="B109" s="14"/>
      <c r="C109" s="14">
        <v>80000</v>
      </c>
      <c r="D109" s="14">
        <f>+B109+C109</f>
        <v>80000</v>
      </c>
      <c r="E109" s="25"/>
      <c r="F109" s="25">
        <f t="shared" ref="F109" si="70">+E109/12</f>
        <v>0</v>
      </c>
      <c r="G109" s="25"/>
      <c r="H109" s="25">
        <v>8823.4699999999993</v>
      </c>
      <c r="I109" s="25">
        <v>8823.4699999999993</v>
      </c>
      <c r="J109" s="25">
        <v>8823.4699999999993</v>
      </c>
      <c r="K109" s="25"/>
      <c r="L109" s="25"/>
      <c r="M109" s="25"/>
      <c r="N109" s="25"/>
      <c r="O109" s="25"/>
      <c r="P109" s="25"/>
      <c r="Q109" s="25"/>
      <c r="R109" s="25"/>
      <c r="S109" s="14"/>
      <c r="T109" s="14"/>
      <c r="U109" s="14"/>
      <c r="V109" s="3">
        <f>SUM(E109:U109)</f>
        <v>26470.409999999996</v>
      </c>
      <c r="W109" s="14"/>
      <c r="X109" s="14"/>
    </row>
    <row r="110" spans="1:24" x14ac:dyDescent="0.25">
      <c r="A110" s="39" t="s">
        <v>49</v>
      </c>
      <c r="B110" s="23">
        <f>+B111</f>
        <v>118878000</v>
      </c>
      <c r="C110" s="23">
        <f>+C111</f>
        <v>0</v>
      </c>
      <c r="D110" s="23">
        <f>+D111</f>
        <v>118878000</v>
      </c>
      <c r="E110" s="23">
        <f t="shared" ref="E110:U110" si="71">+E111</f>
        <v>10141083.050000001</v>
      </c>
      <c r="F110" s="23">
        <f t="shared" si="71"/>
        <v>9861634.3800000008</v>
      </c>
      <c r="G110" s="23">
        <f t="shared" si="71"/>
        <v>10338512.73</v>
      </c>
      <c r="H110" s="23">
        <f t="shared" si="71"/>
        <v>9349784.8200000003</v>
      </c>
      <c r="I110" s="23">
        <f t="shared" si="71"/>
        <v>10367155.939999999</v>
      </c>
      <c r="J110" s="23">
        <f>+J111</f>
        <v>10195155.939999999</v>
      </c>
      <c r="K110" s="23">
        <f t="shared" si="71"/>
        <v>9646304.4100000001</v>
      </c>
      <c r="L110" s="23">
        <f t="shared" si="71"/>
        <v>9615082.7400000002</v>
      </c>
      <c r="M110" s="23">
        <f t="shared" si="71"/>
        <v>0</v>
      </c>
      <c r="N110" s="23">
        <f t="shared" si="71"/>
        <v>0</v>
      </c>
      <c r="O110" s="23">
        <f t="shared" si="71"/>
        <v>0</v>
      </c>
      <c r="P110" s="23">
        <f t="shared" si="71"/>
        <v>0</v>
      </c>
      <c r="Q110" s="23">
        <f t="shared" si="71"/>
        <v>0</v>
      </c>
      <c r="R110" s="23">
        <f t="shared" si="71"/>
        <v>0</v>
      </c>
      <c r="S110" s="23">
        <f t="shared" si="71"/>
        <v>0</v>
      </c>
      <c r="T110" s="23">
        <f t="shared" si="71"/>
        <v>0</v>
      </c>
      <c r="U110" s="23">
        <f t="shared" si="71"/>
        <v>0</v>
      </c>
      <c r="V110" s="76">
        <f t="shared" si="51"/>
        <v>79514714.00999999</v>
      </c>
      <c r="W110" s="14"/>
      <c r="X110" s="14"/>
    </row>
    <row r="111" spans="1:24" ht="15.75" thickBot="1" x14ac:dyDescent="0.3">
      <c r="A111" s="40" t="s">
        <v>99</v>
      </c>
      <c r="B111" s="14">
        <v>118878000</v>
      </c>
      <c r="C111" s="14"/>
      <c r="D111" s="14">
        <f t="shared" ref="D111" si="72">+B111-C111</f>
        <v>118878000</v>
      </c>
      <c r="E111" s="25">
        <v>10141083.050000001</v>
      </c>
      <c r="F111" s="25">
        <v>9861634.3800000008</v>
      </c>
      <c r="G111" s="14">
        <v>10338512.73</v>
      </c>
      <c r="H111" s="14">
        <v>9349784.8200000003</v>
      </c>
      <c r="I111" s="14">
        <v>10367155.939999999</v>
      </c>
      <c r="J111" s="14">
        <v>10195155.939999999</v>
      </c>
      <c r="K111" s="14">
        <v>9646304.4100000001</v>
      </c>
      <c r="L111" s="14">
        <v>9615082.7400000002</v>
      </c>
      <c r="M111" s="14"/>
      <c r="N111" s="14"/>
      <c r="O111" s="14"/>
      <c r="P111" s="14"/>
      <c r="Q111" s="14"/>
      <c r="R111" s="14"/>
      <c r="S111" s="14"/>
      <c r="T111" s="14"/>
      <c r="U111" s="14"/>
      <c r="V111" s="3">
        <f t="shared" si="51"/>
        <v>79514714.00999999</v>
      </c>
      <c r="W111" s="14"/>
      <c r="X111" s="14"/>
    </row>
    <row r="112" spans="1:24" ht="15.75" thickBot="1" x14ac:dyDescent="0.3">
      <c r="A112" s="38" t="s">
        <v>65</v>
      </c>
      <c r="B112" s="23">
        <f>+B113</f>
        <v>1500000</v>
      </c>
      <c r="C112" s="23">
        <f>+C113</f>
        <v>-1400000</v>
      </c>
      <c r="D112" s="23">
        <f>+D113</f>
        <v>100000</v>
      </c>
      <c r="E112" s="23">
        <f t="shared" ref="E112:U112" si="73">+E113</f>
        <v>0</v>
      </c>
      <c r="F112" s="23">
        <f t="shared" si="73"/>
        <v>0</v>
      </c>
      <c r="G112" s="23">
        <f t="shared" si="73"/>
        <v>47246.2</v>
      </c>
      <c r="H112" s="23">
        <f t="shared" si="73"/>
        <v>0</v>
      </c>
      <c r="I112" s="23">
        <f t="shared" si="73"/>
        <v>0</v>
      </c>
      <c r="J112" s="23">
        <f t="shared" si="73"/>
        <v>0</v>
      </c>
      <c r="K112" s="23">
        <f t="shared" si="73"/>
        <v>0</v>
      </c>
      <c r="L112" s="23">
        <f t="shared" si="73"/>
        <v>0</v>
      </c>
      <c r="M112" s="23">
        <f t="shared" si="73"/>
        <v>0</v>
      </c>
      <c r="N112" s="23">
        <f t="shared" si="73"/>
        <v>0</v>
      </c>
      <c r="O112" s="23">
        <f t="shared" si="73"/>
        <v>0</v>
      </c>
      <c r="P112" s="23">
        <f t="shared" si="73"/>
        <v>0</v>
      </c>
      <c r="Q112" s="23">
        <f t="shared" si="73"/>
        <v>0</v>
      </c>
      <c r="R112" s="23">
        <f t="shared" si="73"/>
        <v>0</v>
      </c>
      <c r="S112" s="23">
        <f t="shared" si="73"/>
        <v>0</v>
      </c>
      <c r="T112" s="23">
        <f t="shared" si="73"/>
        <v>0</v>
      </c>
      <c r="U112" s="23">
        <f t="shared" si="73"/>
        <v>0</v>
      </c>
      <c r="V112" s="76">
        <f t="shared" si="51"/>
        <v>47246.2</v>
      </c>
      <c r="W112" s="14"/>
      <c r="X112" s="14"/>
    </row>
    <row r="113" spans="1:24" x14ac:dyDescent="0.25">
      <c r="A113" s="32" t="s">
        <v>66</v>
      </c>
      <c r="B113" s="14">
        <v>1500000</v>
      </c>
      <c r="C113" s="14">
        <v>-1400000</v>
      </c>
      <c r="D113" s="14">
        <f>+B113+C113</f>
        <v>100000</v>
      </c>
      <c r="E113" s="25">
        <v>0</v>
      </c>
      <c r="F113" s="25">
        <f>+E113/12</f>
        <v>0</v>
      </c>
      <c r="G113" s="25">
        <v>47246.2</v>
      </c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3">
        <f t="shared" si="51"/>
        <v>47246.2</v>
      </c>
      <c r="W113" s="14"/>
      <c r="X113" s="14"/>
    </row>
    <row r="114" spans="1:24" x14ac:dyDescent="0.25">
      <c r="A114" s="31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U114" s="14"/>
      <c r="V114" s="14"/>
      <c r="W114" s="14"/>
      <c r="X114" s="14"/>
    </row>
    <row r="115" spans="1:24" ht="16.5" customHeight="1" x14ac:dyDescent="0.25">
      <c r="A115" s="15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W115" s="14"/>
      <c r="X115" s="14"/>
    </row>
    <row r="116" spans="1:24" x14ac:dyDescent="0.25">
      <c r="A116" s="41" t="s">
        <v>100</v>
      </c>
      <c r="B116" s="42">
        <f>+B13+B88+B94+B41</f>
        <v>5897016059</v>
      </c>
      <c r="C116" s="42">
        <v>0</v>
      </c>
      <c r="D116" s="42">
        <f>+D13+D88+D94+D41</f>
        <v>5897016059</v>
      </c>
      <c r="E116" s="42">
        <f>+E13+E88+E94</f>
        <v>1587715121.1100001</v>
      </c>
      <c r="F116" s="42">
        <f>+F94+F92+F13</f>
        <v>358452051.37</v>
      </c>
      <c r="G116" s="42">
        <f t="shared" ref="G116:L116" si="74">+G94+G92+G13+G72</f>
        <v>500159112.48000008</v>
      </c>
      <c r="H116" s="42">
        <f t="shared" si="74"/>
        <v>406431955.67999995</v>
      </c>
      <c r="I116" s="42">
        <f t="shared" si="74"/>
        <v>539670436.78999996</v>
      </c>
      <c r="J116" s="42">
        <f t="shared" si="74"/>
        <v>477407058.84999996</v>
      </c>
      <c r="K116" s="42">
        <f t="shared" si="74"/>
        <v>592640751.23000002</v>
      </c>
      <c r="L116" s="42">
        <f t="shared" si="74"/>
        <v>532518271.14999998</v>
      </c>
      <c r="M116" s="42">
        <f>+M79+M75+M72+M67+M57+M50+M41+M31+M21+M15+M88+M94</f>
        <v>0</v>
      </c>
      <c r="N116" s="42">
        <f>+N79+N75+N72+N67+N57+N50+N41+N31+N21+N15+N88+N94+N115</f>
        <v>0</v>
      </c>
      <c r="O116" s="42">
        <f>+O79+O75+O72+O67+O57+O50+O41+O31+O21+O15+O88+O94+O115</f>
        <v>0</v>
      </c>
      <c r="P116" s="42">
        <f>+P79+P75+P72+P67+P57+P50+P41+P31+P21+P15+P89+P94+P115+P92</f>
        <v>0</v>
      </c>
      <c r="Q116" s="42">
        <f>+Q79+Q75+Q72+Q67+Q57+Q50+Q41+Q31+Q21+Q15+Q89+Q94+Q115+Q92</f>
        <v>0</v>
      </c>
      <c r="R116" s="42">
        <f>+R79+R75+R72+R67+R57+R50+R41+R31+R21+R15+R89+R94+R115+R92</f>
        <v>0</v>
      </c>
      <c r="S116" s="42">
        <f>+S79+S75+S72+S67+S57+S50+S42+S31+S21+S15+S89+S94+S115+S92</f>
        <v>0</v>
      </c>
      <c r="T116" s="43">
        <f>+T79+T75+T72+T67+T57+T50+T42+T31+T21+T15+T89+T94+T115+T92</f>
        <v>0</v>
      </c>
      <c r="U116" s="42">
        <f>+U79+U75+U72+U67+U57+U50+U41+U31+U21+U15</f>
        <v>0</v>
      </c>
      <c r="V116" s="43">
        <v>4995003582.1400003</v>
      </c>
      <c r="W116" s="74"/>
    </row>
    <row r="117" spans="1:24" x14ac:dyDescent="0.25">
      <c r="A117" s="53"/>
      <c r="B117" s="54"/>
      <c r="C117" s="54"/>
      <c r="D117" s="55"/>
      <c r="E117" s="55"/>
      <c r="F117" s="54"/>
      <c r="G117" s="54"/>
      <c r="H117" s="54"/>
      <c r="I117" s="54"/>
      <c r="J117" s="54"/>
      <c r="K117" s="54"/>
      <c r="L117" s="54"/>
      <c r="M117" s="53"/>
      <c r="N117" s="53"/>
      <c r="O117" s="53"/>
      <c r="P117" s="53"/>
      <c r="Q117" s="53"/>
      <c r="R117" s="53"/>
      <c r="S117" s="53"/>
      <c r="T117" s="54"/>
      <c r="U117" s="54"/>
      <c r="V117" s="54"/>
      <c r="W117" s="55"/>
      <c r="X117" s="53"/>
    </row>
    <row r="118" spans="1:24" x14ac:dyDescent="0.25">
      <c r="A118" s="53" t="s">
        <v>101</v>
      </c>
      <c r="B118" s="55"/>
      <c r="C118" s="55"/>
      <c r="D118" s="55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4"/>
      <c r="U118" s="55"/>
      <c r="V118" s="54"/>
      <c r="W118" s="53"/>
      <c r="X118" s="53"/>
    </row>
    <row r="119" spans="1:24" x14ac:dyDescent="0.25">
      <c r="A119" s="53" t="s">
        <v>102</v>
      </c>
      <c r="B119" s="53"/>
      <c r="C119" s="53"/>
      <c r="D119" s="53"/>
      <c r="E119" s="55"/>
      <c r="F119" s="55"/>
      <c r="G119" s="55"/>
      <c r="H119" s="55"/>
      <c r="I119" s="55"/>
      <c r="J119" s="55"/>
      <c r="K119" s="55"/>
      <c r="L119" s="55"/>
      <c r="M119" s="53"/>
      <c r="N119" s="55"/>
      <c r="O119" s="53"/>
      <c r="P119" s="53"/>
      <c r="Q119" s="53"/>
      <c r="R119" s="53"/>
      <c r="S119" s="53"/>
      <c r="T119" s="54"/>
      <c r="U119" s="53"/>
      <c r="V119" s="54"/>
      <c r="W119" s="53"/>
      <c r="X119" s="53"/>
    </row>
    <row r="120" spans="1:24" x14ac:dyDescent="0.25">
      <c r="A120" s="53" t="s">
        <v>103</v>
      </c>
      <c r="B120" s="53"/>
      <c r="C120" s="53"/>
      <c r="D120" s="53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4"/>
      <c r="P120" s="54"/>
      <c r="Q120" s="55"/>
      <c r="R120" s="55"/>
      <c r="S120" s="55"/>
      <c r="T120" s="54"/>
      <c r="U120" s="53"/>
      <c r="V120" s="54"/>
      <c r="W120" s="53"/>
      <c r="X120" s="53"/>
    </row>
    <row r="121" spans="1:24" x14ac:dyDescent="0.25">
      <c r="A121" s="53" t="s">
        <v>104</v>
      </c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4"/>
      <c r="U121" s="53"/>
      <c r="V121" s="54"/>
      <c r="W121" s="53"/>
      <c r="X121" s="53"/>
    </row>
    <row r="122" spans="1:24" x14ac:dyDescent="0.25">
      <c r="A122" s="53" t="s">
        <v>105</v>
      </c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4"/>
      <c r="U122" s="53"/>
      <c r="V122" s="54"/>
      <c r="W122" s="53"/>
      <c r="X122" s="53"/>
    </row>
    <row r="123" spans="1:24" x14ac:dyDescent="0.25">
      <c r="A123" s="53" t="s">
        <v>106</v>
      </c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4"/>
      <c r="U123" s="53"/>
      <c r="V123" s="54"/>
      <c r="W123" s="53"/>
      <c r="X123" s="53"/>
    </row>
    <row r="124" spans="1:24" x14ac:dyDescent="0.25">
      <c r="A124" s="53" t="s">
        <v>107</v>
      </c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4"/>
      <c r="U124" s="53"/>
      <c r="V124" s="54"/>
      <c r="W124" s="53"/>
      <c r="X124" s="53"/>
    </row>
    <row r="125" spans="1:24" x14ac:dyDescent="0.25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4"/>
      <c r="U125" s="53"/>
      <c r="V125" s="54"/>
      <c r="W125" s="53"/>
      <c r="X125" s="53"/>
    </row>
    <row r="126" spans="1:24" x14ac:dyDescent="0.25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4"/>
      <c r="U126" s="53"/>
      <c r="V126" s="54"/>
      <c r="W126" s="53"/>
      <c r="X126" s="53"/>
    </row>
    <row r="127" spans="1:24" x14ac:dyDescent="0.25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4"/>
      <c r="U127" s="53"/>
      <c r="V127" s="54"/>
      <c r="W127" s="53"/>
      <c r="X127" s="53"/>
    </row>
    <row r="128" spans="1:24" x14ac:dyDescent="0.25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4"/>
      <c r="U128" s="53"/>
      <c r="V128" s="54"/>
      <c r="W128" s="53"/>
      <c r="X128" s="53"/>
    </row>
    <row r="129" spans="1:24" x14ac:dyDescent="0.25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4"/>
      <c r="U129" s="53"/>
      <c r="V129" s="54"/>
      <c r="W129" s="53"/>
      <c r="X129" s="53"/>
    </row>
    <row r="130" spans="1:24" x14ac:dyDescent="0.25">
      <c r="A130" s="58"/>
      <c r="B130" s="53"/>
      <c r="C130" s="53"/>
      <c r="D130" s="53"/>
      <c r="E130" s="53"/>
      <c r="F130" s="58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4"/>
      <c r="U130" s="53"/>
      <c r="V130" s="54"/>
      <c r="W130" s="53"/>
      <c r="X130" s="53"/>
    </row>
    <row r="131" spans="1:24" x14ac:dyDescent="0.25">
      <c r="A131" s="57" t="s">
        <v>113</v>
      </c>
      <c r="B131" s="53"/>
      <c r="C131" s="57" t="s">
        <v>115</v>
      </c>
      <c r="D131" s="53"/>
      <c r="E131" s="53"/>
      <c r="F131" s="57" t="s">
        <v>117</v>
      </c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4"/>
      <c r="U131" s="53"/>
      <c r="V131" s="54"/>
      <c r="W131" s="53"/>
      <c r="X131" s="53"/>
    </row>
    <row r="132" spans="1:24" x14ac:dyDescent="0.25">
      <c r="A132" s="58" t="s">
        <v>114</v>
      </c>
      <c r="B132" s="53"/>
      <c r="C132" s="58" t="s">
        <v>116</v>
      </c>
      <c r="D132" s="53"/>
      <c r="E132" s="53"/>
      <c r="F132" s="58" t="s">
        <v>118</v>
      </c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4"/>
      <c r="U132" s="53"/>
      <c r="V132" s="54"/>
      <c r="W132" s="53"/>
      <c r="X132" s="53"/>
    </row>
    <row r="133" spans="1:24" x14ac:dyDescent="0.25">
      <c r="A133" s="53"/>
      <c r="B133" s="53"/>
      <c r="C133" s="58"/>
      <c r="D133" s="53"/>
      <c r="E133" s="53"/>
      <c r="F133" s="58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4"/>
      <c r="U133" s="53"/>
      <c r="V133" s="54"/>
      <c r="W133" s="53"/>
      <c r="X133" s="53"/>
    </row>
    <row r="134" spans="1:24" x14ac:dyDescent="0.25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4"/>
      <c r="U134" s="53"/>
      <c r="V134" s="54"/>
      <c r="W134" s="53"/>
      <c r="X134" s="53"/>
    </row>
    <row r="135" spans="1:24" x14ac:dyDescent="0.25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4"/>
      <c r="U135" s="53"/>
      <c r="V135" s="54"/>
      <c r="W135" s="53"/>
      <c r="X135" s="53"/>
    </row>
    <row r="136" spans="1:24" x14ac:dyDescent="0.25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4"/>
      <c r="U136" s="53"/>
      <c r="V136" s="54"/>
      <c r="W136" s="53"/>
      <c r="X136" s="53"/>
    </row>
    <row r="137" spans="1:24" x14ac:dyDescent="0.25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4"/>
      <c r="U137" s="53"/>
      <c r="V137" s="54"/>
      <c r="W137" s="53"/>
      <c r="X137" s="53"/>
    </row>
    <row r="138" spans="1:24" x14ac:dyDescent="0.25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4"/>
      <c r="U138" s="53"/>
      <c r="V138" s="54"/>
      <c r="W138" s="53"/>
      <c r="X138" s="53"/>
    </row>
    <row r="139" spans="1:24" x14ac:dyDescent="0.25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4"/>
      <c r="U139" s="53"/>
      <c r="V139" s="54"/>
      <c r="W139" s="53"/>
      <c r="X139" s="53"/>
    </row>
    <row r="140" spans="1:24" x14ac:dyDescent="0.25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4"/>
      <c r="U140" s="53"/>
      <c r="V140" s="54"/>
      <c r="W140" s="53"/>
      <c r="X140" s="53"/>
    </row>
    <row r="141" spans="1:24" x14ac:dyDescent="0.25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4"/>
      <c r="U141" s="53"/>
      <c r="V141" s="54"/>
      <c r="W141" s="53"/>
      <c r="X141" s="53"/>
    </row>
    <row r="142" spans="1:24" x14ac:dyDescent="0.25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4"/>
      <c r="U142" s="53"/>
      <c r="V142" s="54"/>
      <c r="W142" s="53"/>
      <c r="X142" s="53"/>
    </row>
    <row r="143" spans="1:24" x14ac:dyDescent="0.25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4"/>
      <c r="U143" s="53"/>
      <c r="V143" s="54"/>
      <c r="W143" s="53"/>
      <c r="X143" s="53"/>
    </row>
    <row r="144" spans="1:24" x14ac:dyDescent="0.25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4"/>
      <c r="U144" s="53"/>
      <c r="V144" s="54"/>
      <c r="W144" s="53"/>
      <c r="X144" s="53"/>
    </row>
    <row r="145" spans="1:24" x14ac:dyDescent="0.25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4"/>
      <c r="U145" s="53"/>
      <c r="V145" s="54"/>
      <c r="W145" s="53"/>
      <c r="X145" s="53"/>
    </row>
    <row r="146" spans="1:24" x14ac:dyDescent="0.25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4"/>
      <c r="U146" s="53"/>
      <c r="V146" s="54"/>
      <c r="W146" s="53"/>
      <c r="X146" s="53"/>
    </row>
    <row r="147" spans="1:24" x14ac:dyDescent="0.25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4"/>
      <c r="U147" s="53"/>
      <c r="V147" s="54"/>
      <c r="W147" s="53"/>
      <c r="X147" s="53"/>
    </row>
    <row r="148" spans="1:24" x14ac:dyDescent="0.25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4"/>
      <c r="U148" s="53"/>
      <c r="V148" s="54"/>
      <c r="W148" s="53"/>
      <c r="X148" s="53"/>
    </row>
    <row r="149" spans="1:24" x14ac:dyDescent="0.25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4"/>
      <c r="U149" s="53"/>
      <c r="V149" s="54"/>
      <c r="W149" s="53"/>
      <c r="X149" s="53"/>
    </row>
    <row r="150" spans="1:24" x14ac:dyDescent="0.25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4"/>
      <c r="U150" s="53"/>
      <c r="V150" s="54"/>
      <c r="W150" s="53"/>
      <c r="X150" s="53"/>
    </row>
    <row r="151" spans="1:24" x14ac:dyDescent="0.25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4"/>
      <c r="U151" s="53"/>
      <c r="V151" s="54"/>
      <c r="W151" s="53"/>
      <c r="X151" s="53"/>
    </row>
    <row r="152" spans="1:24" x14ac:dyDescent="0.25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4"/>
      <c r="U152" s="53"/>
      <c r="V152" s="54"/>
      <c r="W152" s="53"/>
      <c r="X152" s="53"/>
    </row>
    <row r="153" spans="1:24" x14ac:dyDescent="0.25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4"/>
      <c r="U153" s="53"/>
      <c r="V153" s="54"/>
      <c r="W153" s="53"/>
      <c r="X153" s="53"/>
    </row>
    <row r="154" spans="1:24" x14ac:dyDescent="0.25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4"/>
      <c r="U154" s="53"/>
      <c r="V154" s="54"/>
      <c r="W154" s="53"/>
      <c r="X154" s="53"/>
    </row>
    <row r="155" spans="1:24" x14ac:dyDescent="0.25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4"/>
      <c r="U155" s="53"/>
      <c r="V155" s="54"/>
      <c r="W155" s="53"/>
      <c r="X155" s="53"/>
    </row>
    <row r="156" spans="1:24" x14ac:dyDescent="0.25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4"/>
      <c r="U156" s="53"/>
      <c r="V156" s="54"/>
      <c r="W156" s="53"/>
      <c r="X156" s="53"/>
    </row>
    <row r="157" spans="1:24" x14ac:dyDescent="0.25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4"/>
      <c r="U157" s="53"/>
      <c r="V157" s="54"/>
      <c r="W157" s="53"/>
      <c r="X157" s="53"/>
    </row>
    <row r="158" spans="1:24" x14ac:dyDescent="0.25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4"/>
      <c r="U158" s="53"/>
      <c r="V158" s="54"/>
      <c r="W158" s="53"/>
      <c r="X158" s="53"/>
    </row>
    <row r="159" spans="1:24" x14ac:dyDescent="0.25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4"/>
      <c r="U159" s="53"/>
      <c r="V159" s="54"/>
      <c r="W159" s="53"/>
      <c r="X159" s="53"/>
    </row>
    <row r="160" spans="1:24" x14ac:dyDescent="0.25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4"/>
      <c r="U160" s="53"/>
      <c r="V160" s="54"/>
      <c r="W160" s="53"/>
      <c r="X160" s="53"/>
    </row>
    <row r="161" spans="1:24" x14ac:dyDescent="0.25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4"/>
      <c r="U161" s="53"/>
      <c r="V161" s="54"/>
      <c r="W161" s="53"/>
      <c r="X161" s="53"/>
    </row>
    <row r="162" spans="1:24" x14ac:dyDescent="0.25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4"/>
      <c r="U162" s="53"/>
      <c r="V162" s="54"/>
      <c r="W162" s="53"/>
      <c r="X162" s="53"/>
    </row>
    <row r="163" spans="1:24" x14ac:dyDescent="0.25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4"/>
      <c r="U163" s="53"/>
      <c r="V163" s="54"/>
      <c r="W163" s="53"/>
      <c r="X163" s="53"/>
    </row>
    <row r="164" spans="1:24" x14ac:dyDescent="0.25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4"/>
      <c r="U164" s="53"/>
      <c r="V164" s="54"/>
      <c r="W164" s="53"/>
      <c r="X164" s="53"/>
    </row>
    <row r="165" spans="1:24" x14ac:dyDescent="0.25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4"/>
      <c r="U165" s="53"/>
      <c r="V165" s="54"/>
      <c r="W165" s="53"/>
      <c r="X165" s="53"/>
    </row>
    <row r="166" spans="1:24" x14ac:dyDescent="0.25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4"/>
      <c r="U166" s="53"/>
      <c r="V166" s="54"/>
      <c r="W166" s="53"/>
      <c r="X166" s="53"/>
    </row>
    <row r="167" spans="1:24" x14ac:dyDescent="0.25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4"/>
      <c r="U167" s="53"/>
      <c r="V167" s="54"/>
      <c r="W167" s="53"/>
      <c r="X167" s="53"/>
    </row>
    <row r="168" spans="1:24" x14ac:dyDescent="0.25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4"/>
      <c r="U168" s="53"/>
      <c r="V168" s="54"/>
      <c r="W168" s="53"/>
      <c r="X168" s="53"/>
    </row>
    <row r="169" spans="1:24" x14ac:dyDescent="0.25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4"/>
      <c r="U169" s="53"/>
      <c r="V169" s="54"/>
      <c r="W169" s="53"/>
      <c r="X169" s="53"/>
    </row>
    <row r="170" spans="1:24" x14ac:dyDescent="0.25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4"/>
      <c r="U170" s="53"/>
      <c r="V170" s="54"/>
      <c r="W170" s="53"/>
      <c r="X170" s="53"/>
    </row>
    <row r="171" spans="1:24" x14ac:dyDescent="0.25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4"/>
      <c r="U171" s="53"/>
      <c r="V171" s="54"/>
      <c r="W171" s="53"/>
      <c r="X171" s="53"/>
    </row>
    <row r="172" spans="1:24" x14ac:dyDescent="0.25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4"/>
      <c r="U172" s="53"/>
      <c r="V172" s="54"/>
      <c r="W172" s="53"/>
      <c r="X172" s="53"/>
    </row>
    <row r="173" spans="1:24" x14ac:dyDescent="0.25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4"/>
      <c r="U173" s="53"/>
      <c r="V173" s="54"/>
      <c r="W173" s="53"/>
      <c r="X173" s="53"/>
    </row>
    <row r="174" spans="1:24" x14ac:dyDescent="0.25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4"/>
      <c r="U174" s="53"/>
      <c r="V174" s="54"/>
      <c r="W174" s="53"/>
      <c r="X174" s="53"/>
    </row>
    <row r="175" spans="1:24" x14ac:dyDescent="0.25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4"/>
      <c r="U175" s="53"/>
      <c r="V175" s="54"/>
      <c r="W175" s="53"/>
      <c r="X175" s="53"/>
    </row>
    <row r="176" spans="1:24" x14ac:dyDescent="0.25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4"/>
      <c r="U176" s="53"/>
      <c r="V176" s="54"/>
      <c r="W176" s="53"/>
      <c r="X176" s="53"/>
    </row>
    <row r="177" spans="1:24" x14ac:dyDescent="0.25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4"/>
      <c r="U177" s="53"/>
      <c r="V177" s="54"/>
      <c r="W177" s="53"/>
      <c r="X177" s="53"/>
    </row>
    <row r="178" spans="1:24" x14ac:dyDescent="0.25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4"/>
      <c r="U178" s="53"/>
      <c r="V178" s="54"/>
      <c r="W178" s="53"/>
      <c r="X178" s="53"/>
    </row>
    <row r="179" spans="1:24" x14ac:dyDescent="0.25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4"/>
      <c r="U179" s="53"/>
      <c r="V179" s="54"/>
      <c r="W179" s="53"/>
      <c r="X179" s="53"/>
    </row>
    <row r="180" spans="1:24" x14ac:dyDescent="0.25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4"/>
      <c r="U180" s="53"/>
      <c r="V180" s="54"/>
      <c r="W180" s="53"/>
      <c r="X180" s="53"/>
    </row>
    <row r="181" spans="1:24" x14ac:dyDescent="0.25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4"/>
      <c r="U181" s="53"/>
      <c r="V181" s="54"/>
      <c r="W181" s="53"/>
      <c r="X181" s="53"/>
    </row>
    <row r="182" spans="1:24" x14ac:dyDescent="0.25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4"/>
      <c r="U182" s="53"/>
      <c r="V182" s="54"/>
      <c r="W182" s="53"/>
      <c r="X182" s="53"/>
    </row>
    <row r="183" spans="1:24" x14ac:dyDescent="0.25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4"/>
      <c r="U183" s="53"/>
      <c r="V183" s="54"/>
      <c r="W183" s="53"/>
      <c r="X183" s="53"/>
    </row>
    <row r="184" spans="1:24" x14ac:dyDescent="0.25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4"/>
      <c r="U184" s="53"/>
      <c r="V184" s="54"/>
      <c r="W184" s="53"/>
      <c r="X184" s="53"/>
    </row>
    <row r="185" spans="1:24" x14ac:dyDescent="0.25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4"/>
      <c r="U185" s="53"/>
      <c r="V185" s="54"/>
      <c r="W185" s="53"/>
      <c r="X185" s="53"/>
    </row>
    <row r="186" spans="1:24" x14ac:dyDescent="0.25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4"/>
      <c r="U186" s="53"/>
      <c r="V186" s="54"/>
      <c r="W186" s="53"/>
      <c r="X186" s="53"/>
    </row>
    <row r="187" spans="1:24" x14ac:dyDescent="0.25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4"/>
      <c r="U187" s="53"/>
      <c r="V187" s="54"/>
      <c r="W187" s="53"/>
      <c r="X187" s="53"/>
    </row>
    <row r="188" spans="1:24" x14ac:dyDescent="0.25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4"/>
      <c r="U188" s="53"/>
      <c r="V188" s="54"/>
      <c r="W188" s="53"/>
      <c r="X188" s="53"/>
    </row>
    <row r="189" spans="1:24" x14ac:dyDescent="0.25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4"/>
      <c r="U189" s="53"/>
      <c r="V189" s="54"/>
      <c r="W189" s="53"/>
      <c r="X189" s="53"/>
    </row>
    <row r="190" spans="1:24" x14ac:dyDescent="0.25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4"/>
      <c r="U190" s="53"/>
      <c r="V190" s="54"/>
      <c r="W190" s="53"/>
      <c r="X190" s="53"/>
    </row>
    <row r="191" spans="1:24" x14ac:dyDescent="0.25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4"/>
      <c r="U191" s="53"/>
      <c r="V191" s="54"/>
      <c r="W191" s="53"/>
      <c r="X191" s="53"/>
    </row>
    <row r="192" spans="1:24" x14ac:dyDescent="0.25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4"/>
      <c r="U192" s="53"/>
      <c r="V192" s="54"/>
      <c r="W192" s="53"/>
      <c r="X192" s="53"/>
    </row>
    <row r="193" spans="1:24" x14ac:dyDescent="0.25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4"/>
      <c r="U193" s="53"/>
      <c r="V193" s="54"/>
      <c r="W193" s="53"/>
      <c r="X193" s="53"/>
    </row>
    <row r="194" spans="1:24" x14ac:dyDescent="0.25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4"/>
      <c r="U194" s="53"/>
      <c r="V194" s="54"/>
      <c r="W194" s="53"/>
      <c r="X194" s="53"/>
    </row>
    <row r="195" spans="1:24" x14ac:dyDescent="0.25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4"/>
      <c r="U195" s="53"/>
      <c r="V195" s="54"/>
      <c r="W195" s="53"/>
      <c r="X195" s="53"/>
    </row>
    <row r="196" spans="1:24" x14ac:dyDescent="0.25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4"/>
      <c r="U196" s="53"/>
      <c r="V196" s="54"/>
      <c r="W196" s="53"/>
      <c r="X196" s="53"/>
    </row>
    <row r="197" spans="1:24" x14ac:dyDescent="0.25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4"/>
      <c r="U197" s="53"/>
      <c r="V197" s="54"/>
      <c r="W197" s="53"/>
      <c r="X197" s="53"/>
    </row>
    <row r="198" spans="1:24" x14ac:dyDescent="0.25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4"/>
      <c r="U198" s="53"/>
      <c r="V198" s="54"/>
      <c r="W198" s="53"/>
      <c r="X198" s="53"/>
    </row>
    <row r="199" spans="1:24" x14ac:dyDescent="0.25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4"/>
      <c r="U199" s="53"/>
      <c r="V199" s="54"/>
      <c r="W199" s="53"/>
      <c r="X199" s="53"/>
    </row>
    <row r="200" spans="1:24" x14ac:dyDescent="0.25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4"/>
      <c r="U200" s="53"/>
      <c r="V200" s="54"/>
      <c r="W200" s="53"/>
      <c r="X200" s="53"/>
    </row>
    <row r="201" spans="1:24" x14ac:dyDescent="0.25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4"/>
      <c r="U201" s="53"/>
      <c r="V201" s="54"/>
      <c r="W201" s="53"/>
      <c r="X201" s="53"/>
    </row>
    <row r="202" spans="1:24" x14ac:dyDescent="0.25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4"/>
      <c r="U202" s="53"/>
      <c r="V202" s="54"/>
      <c r="W202" s="53"/>
      <c r="X202" s="53"/>
    </row>
    <row r="203" spans="1:24" x14ac:dyDescent="0.25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4"/>
      <c r="U203" s="53"/>
      <c r="V203" s="54"/>
      <c r="W203" s="53"/>
      <c r="X203" s="53"/>
    </row>
    <row r="204" spans="1:24" x14ac:dyDescent="0.25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4"/>
      <c r="U204" s="53"/>
      <c r="V204" s="54"/>
      <c r="W204" s="53"/>
      <c r="X204" s="53"/>
    </row>
    <row r="205" spans="1:24" x14ac:dyDescent="0.25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4"/>
      <c r="U205" s="53"/>
      <c r="V205" s="54"/>
      <c r="W205" s="53"/>
      <c r="X205" s="53"/>
    </row>
    <row r="206" spans="1:24" x14ac:dyDescent="0.25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4"/>
      <c r="U206" s="53"/>
      <c r="V206" s="54"/>
      <c r="W206" s="53"/>
      <c r="X206" s="53"/>
    </row>
    <row r="207" spans="1:24" x14ac:dyDescent="0.25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4"/>
      <c r="U207" s="53"/>
      <c r="V207" s="54"/>
      <c r="W207" s="53"/>
      <c r="X207" s="53"/>
    </row>
    <row r="208" spans="1:24" x14ac:dyDescent="0.25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4"/>
      <c r="U208" s="53"/>
      <c r="V208" s="54"/>
      <c r="W208" s="53"/>
      <c r="X208" s="53"/>
    </row>
    <row r="209" spans="1:24" x14ac:dyDescent="0.25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4"/>
      <c r="U209" s="53"/>
      <c r="V209" s="54"/>
      <c r="W209" s="53"/>
      <c r="X209" s="53"/>
    </row>
    <row r="210" spans="1:24" x14ac:dyDescent="0.25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4"/>
      <c r="U210" s="53"/>
      <c r="V210" s="54"/>
      <c r="W210" s="53"/>
      <c r="X210" s="53"/>
    </row>
    <row r="211" spans="1:24" x14ac:dyDescent="0.25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4"/>
      <c r="U211" s="53"/>
      <c r="V211" s="54"/>
      <c r="W211" s="53"/>
      <c r="X211" s="53"/>
    </row>
    <row r="212" spans="1:24" x14ac:dyDescent="0.25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4"/>
      <c r="U212" s="53"/>
      <c r="V212" s="54"/>
      <c r="W212" s="53"/>
      <c r="X212" s="53"/>
    </row>
    <row r="213" spans="1:24" x14ac:dyDescent="0.25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4"/>
      <c r="U213" s="53"/>
      <c r="V213" s="54"/>
      <c r="W213" s="53"/>
      <c r="X213" s="53"/>
    </row>
    <row r="214" spans="1:24" x14ac:dyDescent="0.25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4"/>
      <c r="U214" s="53"/>
      <c r="V214" s="54"/>
      <c r="W214" s="53"/>
      <c r="X214" s="53"/>
    </row>
    <row r="215" spans="1:24" x14ac:dyDescent="0.25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4"/>
      <c r="U215" s="53"/>
      <c r="V215" s="54"/>
      <c r="W215" s="53"/>
      <c r="X215" s="53"/>
    </row>
    <row r="216" spans="1:24" x14ac:dyDescent="0.25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4"/>
      <c r="U216" s="53"/>
      <c r="V216" s="54"/>
      <c r="W216" s="53"/>
      <c r="X216" s="53"/>
    </row>
    <row r="217" spans="1:24" x14ac:dyDescent="0.25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4"/>
      <c r="U217" s="53"/>
      <c r="V217" s="54"/>
      <c r="W217" s="53"/>
      <c r="X217" s="53"/>
    </row>
    <row r="218" spans="1:24" x14ac:dyDescent="0.25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4"/>
      <c r="U218" s="53"/>
      <c r="V218" s="54"/>
      <c r="W218" s="53"/>
      <c r="X218" s="53"/>
    </row>
    <row r="219" spans="1:24" x14ac:dyDescent="0.25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4"/>
      <c r="U219" s="53"/>
      <c r="V219" s="54"/>
      <c r="W219" s="53"/>
      <c r="X219" s="53"/>
    </row>
    <row r="220" spans="1:24" x14ac:dyDescent="0.25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4"/>
      <c r="U220" s="53"/>
      <c r="V220" s="54"/>
      <c r="W220" s="53"/>
      <c r="X220" s="53"/>
    </row>
    <row r="221" spans="1:24" x14ac:dyDescent="0.25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4"/>
      <c r="U221" s="53"/>
      <c r="V221" s="54"/>
      <c r="W221" s="53"/>
      <c r="X221" s="53"/>
    </row>
    <row r="222" spans="1:24" x14ac:dyDescent="0.25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4"/>
      <c r="U222" s="53"/>
      <c r="V222" s="54"/>
      <c r="W222" s="53"/>
      <c r="X222" s="53"/>
    </row>
    <row r="223" spans="1:24" x14ac:dyDescent="0.25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4"/>
      <c r="U223" s="53"/>
      <c r="V223" s="54"/>
      <c r="W223" s="53"/>
      <c r="X223" s="53"/>
    </row>
    <row r="224" spans="1:24" x14ac:dyDescent="0.25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4"/>
      <c r="U224" s="53"/>
      <c r="V224" s="54"/>
      <c r="W224" s="53"/>
      <c r="X224" s="53"/>
    </row>
    <row r="225" spans="1:24" x14ac:dyDescent="0.25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4"/>
      <c r="U225" s="53"/>
      <c r="V225" s="54"/>
      <c r="W225" s="53"/>
      <c r="X225" s="53"/>
    </row>
    <row r="226" spans="1:24" x14ac:dyDescent="0.25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4"/>
      <c r="U226" s="53"/>
      <c r="V226" s="54"/>
      <c r="W226" s="53"/>
      <c r="X226" s="53"/>
    </row>
    <row r="227" spans="1:24" x14ac:dyDescent="0.25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4"/>
      <c r="U227" s="53"/>
      <c r="V227" s="54"/>
      <c r="W227" s="53"/>
      <c r="X227" s="53"/>
    </row>
    <row r="228" spans="1:24" x14ac:dyDescent="0.25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4"/>
      <c r="U228" s="53"/>
      <c r="V228" s="54"/>
      <c r="W228" s="53"/>
      <c r="X228" s="53"/>
    </row>
    <row r="229" spans="1:24" x14ac:dyDescent="0.25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4"/>
      <c r="U229" s="53"/>
      <c r="V229" s="54"/>
      <c r="W229" s="53"/>
      <c r="X229" s="53"/>
    </row>
    <row r="230" spans="1:24" x14ac:dyDescent="0.25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4"/>
      <c r="U230" s="53"/>
      <c r="V230" s="54"/>
      <c r="W230" s="53"/>
      <c r="X230" s="53"/>
    </row>
    <row r="231" spans="1:24" x14ac:dyDescent="0.25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4"/>
      <c r="U231" s="53"/>
      <c r="V231" s="54"/>
      <c r="W231" s="53"/>
      <c r="X231" s="53"/>
    </row>
    <row r="232" spans="1:24" x14ac:dyDescent="0.25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4"/>
      <c r="U232" s="53"/>
      <c r="V232" s="54"/>
      <c r="W232" s="53"/>
      <c r="X232" s="53"/>
    </row>
  </sheetData>
  <mergeCells count="9">
    <mergeCell ref="A10:A11"/>
    <mergeCell ref="B10:B11"/>
    <mergeCell ref="D10:D11"/>
    <mergeCell ref="E10:V10"/>
    <mergeCell ref="A4:V4"/>
    <mergeCell ref="A5:V5"/>
    <mergeCell ref="A6:V6"/>
    <mergeCell ref="A7:V7"/>
    <mergeCell ref="A8:V8"/>
  </mergeCells>
  <pageMargins left="0.43307086614173229" right="0.51181102362204722" top="0.74803149606299213" bottom="0.74803149606299213" header="0.31496062992125984" footer="0.31496062992125984"/>
  <pageSetup paperSize="9" scale="5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M. Ruiz C.</dc:creator>
  <cp:lastModifiedBy>Tania M. Ruiz C.</cp:lastModifiedBy>
  <cp:lastPrinted>2026-09-08T17:06:53Z</cp:lastPrinted>
  <dcterms:created xsi:type="dcterms:W3CDTF">2026-01-07T13:54:22Z</dcterms:created>
  <dcterms:modified xsi:type="dcterms:W3CDTF">2026-09-08T18:37:11Z</dcterms:modified>
</cp:coreProperties>
</file>